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jhandler\Documents\JSH Chatham Initiative\GCI Access Capital\City of Chicago  grants CRP\Chc Recovery Plan CRP   Grants\Large\"/>
    </mc:Choice>
  </mc:AlternateContent>
  <xr:revisionPtr revIDLastSave="0" documentId="8_{E23F6C6E-A020-4D4A-A776-B8A7C59AB6D2}" xr6:coauthVersionLast="47" xr6:coauthVersionMax="47" xr10:uidLastSave="{00000000-0000-0000-0000-000000000000}"/>
  <bookViews>
    <workbookView xWindow="-28275" yWindow="420" windowWidth="21405" windowHeight="14475" tabRatio="921" firstSheet="1" activeTab="1" xr2:uid="{EB40F8BE-94C5-4800-8EF6-1C36C8D23BAC}"/>
  </bookViews>
  <sheets>
    <sheet name="Connect" sheetId="10" state="veryHidden" r:id="rId1"/>
    <sheet name="Instructions" sheetId="12" r:id="rId2"/>
    <sheet name="Development_Assumptions" sheetId="8" r:id="rId3"/>
    <sheet name="Development_Costs" sheetId="11" r:id="rId4"/>
    <sheet name="Capital Stack_Incentives" sheetId="9" r:id="rId5"/>
    <sheet name="Residential Assumptions" sheetId="1" r:id="rId6"/>
    <sheet name="Retail Assumptions" sheetId="3" r:id="rId7"/>
    <sheet name="Office Assumptions" sheetId="4" r:id="rId8"/>
    <sheet name="Hotel Assumptions" sheetId="2" r:id="rId9"/>
    <sheet name="Industrial Assumptions" sheetId="5" r:id="rId10"/>
    <sheet name="Parking Assumptions" sheetId="6" r:id="rId11"/>
  </sheets>
  <calcPr calcId="191028" calcMode="autoNoTable" iterate="1" iterateCount="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11" l="1"/>
  <c r="G14" i="11"/>
  <c r="C14" i="11" s="1"/>
  <c r="G15" i="11"/>
  <c r="C24" i="11"/>
  <c r="C20" i="11"/>
  <c r="P86" i="11"/>
  <c r="P85" i="11"/>
  <c r="P82" i="11"/>
  <c r="P81" i="11"/>
  <c r="P77" i="11"/>
  <c r="P75" i="11"/>
  <c r="P73" i="11"/>
  <c r="P71" i="11"/>
  <c r="P69" i="11"/>
  <c r="P68" i="11"/>
  <c r="P67" i="11"/>
  <c r="P64" i="11"/>
  <c r="P63" i="11"/>
  <c r="P62" i="11"/>
  <c r="P61" i="11"/>
  <c r="P60" i="11"/>
  <c r="P53" i="11"/>
  <c r="P51" i="11"/>
  <c r="P50" i="11"/>
  <c r="P49" i="11"/>
  <c r="P46" i="11"/>
  <c r="P45" i="11"/>
  <c r="P42" i="11"/>
  <c r="P41" i="11"/>
  <c r="P40" i="11"/>
  <c r="P37" i="11"/>
  <c r="P36" i="11"/>
  <c r="P35" i="11"/>
  <c r="P34" i="11"/>
  <c r="P33" i="11"/>
  <c r="P30" i="11"/>
  <c r="P29" i="11"/>
  <c r="P28" i="11"/>
  <c r="P25" i="11"/>
  <c r="P24" i="11"/>
  <c r="P23" i="11"/>
  <c r="P20" i="11"/>
  <c r="P19" i="11"/>
  <c r="P15" i="11"/>
  <c r="P14" i="11"/>
  <c r="M86" i="11"/>
  <c r="M85" i="11"/>
  <c r="M82" i="11"/>
  <c r="M81" i="11"/>
  <c r="M77" i="11"/>
  <c r="M75" i="11"/>
  <c r="M73" i="11"/>
  <c r="M71" i="11"/>
  <c r="M69" i="11"/>
  <c r="M68" i="11"/>
  <c r="M67" i="11"/>
  <c r="M64" i="11"/>
  <c r="M63" i="11"/>
  <c r="M62" i="11"/>
  <c r="M61" i="11"/>
  <c r="M60" i="11"/>
  <c r="M53" i="11"/>
  <c r="M51" i="11"/>
  <c r="M50" i="11"/>
  <c r="M49" i="11"/>
  <c r="M46" i="11"/>
  <c r="M45" i="11"/>
  <c r="M42" i="11"/>
  <c r="M41" i="11"/>
  <c r="M40" i="11"/>
  <c r="M37" i="11"/>
  <c r="M36" i="11"/>
  <c r="M35" i="11"/>
  <c r="M34" i="11"/>
  <c r="M33" i="11"/>
  <c r="M30" i="11"/>
  <c r="M29" i="11"/>
  <c r="M28" i="11"/>
  <c r="M25" i="11"/>
  <c r="M24" i="11"/>
  <c r="M23" i="11"/>
  <c r="M20" i="11"/>
  <c r="M19" i="11"/>
  <c r="M14" i="11"/>
  <c r="M15" i="11"/>
  <c r="J86" i="11"/>
  <c r="J85" i="11"/>
  <c r="J82" i="11"/>
  <c r="J81" i="11"/>
  <c r="J77" i="11"/>
  <c r="J75" i="11"/>
  <c r="J73" i="11"/>
  <c r="J71" i="11"/>
  <c r="J69" i="11"/>
  <c r="J68" i="11"/>
  <c r="J67" i="11"/>
  <c r="J64" i="11"/>
  <c r="J63" i="11"/>
  <c r="J62" i="11"/>
  <c r="J61" i="11"/>
  <c r="J60" i="11"/>
  <c r="J53" i="11"/>
  <c r="J51" i="11"/>
  <c r="J50" i="11"/>
  <c r="J49" i="11"/>
  <c r="J46" i="11"/>
  <c r="J45" i="11"/>
  <c r="J42" i="11"/>
  <c r="J41" i="11"/>
  <c r="J40" i="11"/>
  <c r="J37" i="11"/>
  <c r="J36" i="11"/>
  <c r="J35" i="11"/>
  <c r="J34" i="11"/>
  <c r="J33" i="11"/>
  <c r="J30" i="11"/>
  <c r="J29" i="11"/>
  <c r="J28" i="11"/>
  <c r="J25" i="11"/>
  <c r="J24" i="11"/>
  <c r="J23" i="11"/>
  <c r="J20" i="11"/>
  <c r="J19" i="11"/>
  <c r="G86" i="11"/>
  <c r="G85" i="11"/>
  <c r="G82" i="11"/>
  <c r="G81" i="11"/>
  <c r="G77" i="11"/>
  <c r="G75" i="11"/>
  <c r="G73" i="11"/>
  <c r="G71" i="11"/>
  <c r="G69" i="11"/>
  <c r="G68" i="11"/>
  <c r="G67" i="11"/>
  <c r="G64" i="11"/>
  <c r="G63" i="11"/>
  <c r="G62" i="11"/>
  <c r="G61" i="11"/>
  <c r="G60" i="11"/>
  <c r="G51" i="11"/>
  <c r="G50" i="11"/>
  <c r="G49" i="11"/>
  <c r="G46" i="11"/>
  <c r="G45" i="11"/>
  <c r="G42" i="11"/>
  <c r="G41" i="11"/>
  <c r="G40" i="11"/>
  <c r="G37" i="11"/>
  <c r="G36" i="11"/>
  <c r="G35" i="11"/>
  <c r="G34" i="11"/>
  <c r="G33" i="11"/>
  <c r="G30" i="11"/>
  <c r="G29" i="11"/>
  <c r="G28" i="11"/>
  <c r="G25" i="11"/>
  <c r="G24" i="11"/>
  <c r="G23" i="11"/>
  <c r="G20" i="11"/>
  <c r="G19" i="11"/>
  <c r="J15" i="11"/>
  <c r="J14" i="11"/>
  <c r="C15" i="11"/>
  <c r="C19" i="9"/>
  <c r="C13" i="11" l="1"/>
  <c r="C86" i="11"/>
  <c r="C85" i="11"/>
  <c r="C82" i="11"/>
  <c r="C81" i="11"/>
  <c r="C77" i="11"/>
  <c r="C75" i="11"/>
  <c r="C73" i="11"/>
  <c r="C71" i="11"/>
  <c r="C68" i="11"/>
  <c r="C69" i="11"/>
  <c r="C67" i="11"/>
  <c r="C61" i="11"/>
  <c r="C62" i="11"/>
  <c r="C63" i="11"/>
  <c r="C64" i="11"/>
  <c r="C60" i="11"/>
  <c r="C53" i="11"/>
  <c r="C50" i="11"/>
  <c r="C51" i="11"/>
  <c r="C49" i="11"/>
  <c r="C46" i="11"/>
  <c r="C45" i="11"/>
  <c r="C41" i="11"/>
  <c r="C42" i="11"/>
  <c r="C40" i="11"/>
  <c r="C34" i="11"/>
  <c r="C35" i="11"/>
  <c r="C36" i="11"/>
  <c r="C37" i="11"/>
  <c r="C33" i="11"/>
  <c r="C29" i="11"/>
  <c r="C30" i="11"/>
  <c r="C28" i="11"/>
  <c r="C25" i="11"/>
  <c r="C23" i="11"/>
  <c r="C19" i="11"/>
  <c r="R88" i="11"/>
  <c r="P84" i="11"/>
  <c r="R84" i="11"/>
  <c r="Q84" i="11"/>
  <c r="R80" i="11"/>
  <c r="Q80" i="11"/>
  <c r="P80" i="11"/>
  <c r="P78" i="11" s="1"/>
  <c r="R66" i="11"/>
  <c r="Q66" i="11"/>
  <c r="P66" i="11"/>
  <c r="R59" i="11"/>
  <c r="R78" i="11" s="1"/>
  <c r="Q59" i="11"/>
  <c r="Q88" i="11" s="1"/>
  <c r="P59" i="11"/>
  <c r="P48" i="11"/>
  <c r="R48" i="11"/>
  <c r="Q48" i="11"/>
  <c r="P44" i="11"/>
  <c r="R44" i="11"/>
  <c r="Q44" i="11"/>
  <c r="R39" i="11"/>
  <c r="Q39" i="11"/>
  <c r="P39" i="11"/>
  <c r="R32" i="11"/>
  <c r="Q32" i="11"/>
  <c r="P32" i="11"/>
  <c r="P27" i="11"/>
  <c r="R27" i="11"/>
  <c r="Q27" i="11"/>
  <c r="P22" i="11"/>
  <c r="R22" i="11"/>
  <c r="Q22" i="11"/>
  <c r="Q56" i="11" s="1"/>
  <c r="P18" i="11"/>
  <c r="R18" i="11"/>
  <c r="R54" i="11" s="1"/>
  <c r="Q18" i="11"/>
  <c r="Q54" i="11" s="1"/>
  <c r="P13" i="11"/>
  <c r="R13" i="11"/>
  <c r="Q13" i="11"/>
  <c r="O88" i="11"/>
  <c r="M84" i="11"/>
  <c r="O84" i="11"/>
  <c r="N84" i="11"/>
  <c r="O80" i="11"/>
  <c r="N80" i="11"/>
  <c r="M80" i="11"/>
  <c r="M66" i="11"/>
  <c r="O66" i="11"/>
  <c r="N66" i="11"/>
  <c r="M59" i="11"/>
  <c r="O59" i="11"/>
  <c r="O78" i="11" s="1"/>
  <c r="N59" i="11"/>
  <c r="N88" i="11" s="1"/>
  <c r="O48" i="11"/>
  <c r="N48" i="11"/>
  <c r="M48" i="11"/>
  <c r="M44" i="11"/>
  <c r="O44" i="11"/>
  <c r="N44" i="11"/>
  <c r="M39" i="11"/>
  <c r="O39" i="11"/>
  <c r="N39" i="11"/>
  <c r="M32" i="11"/>
  <c r="O32" i="11"/>
  <c r="N32" i="11"/>
  <c r="M27" i="11"/>
  <c r="O27" i="11"/>
  <c r="N27" i="11"/>
  <c r="M22" i="11"/>
  <c r="O22" i="11"/>
  <c r="N22" i="11"/>
  <c r="N54" i="11" s="1"/>
  <c r="O18" i="11"/>
  <c r="O54" i="11" s="1"/>
  <c r="N18" i="11"/>
  <c r="N56" i="11" s="1"/>
  <c r="N94" i="11" s="1"/>
  <c r="M18" i="11"/>
  <c r="M13" i="11"/>
  <c r="O13" i="11"/>
  <c r="N13" i="11"/>
  <c r="L88" i="11"/>
  <c r="J84" i="11"/>
  <c r="L84" i="11"/>
  <c r="K84" i="11"/>
  <c r="L80" i="11"/>
  <c r="K80" i="11"/>
  <c r="J80" i="11"/>
  <c r="L66" i="11"/>
  <c r="K66" i="11"/>
  <c r="J66" i="11"/>
  <c r="L59" i="11"/>
  <c r="L78" i="11" s="1"/>
  <c r="K59" i="11"/>
  <c r="K88" i="11" s="1"/>
  <c r="J59" i="11"/>
  <c r="J48" i="11"/>
  <c r="L48" i="11"/>
  <c r="K48" i="11"/>
  <c r="J44" i="11"/>
  <c r="L44" i="11"/>
  <c r="K44" i="11"/>
  <c r="L39" i="11"/>
  <c r="K39" i="11"/>
  <c r="J39" i="11"/>
  <c r="J32" i="11"/>
  <c r="L32" i="11"/>
  <c r="K32" i="11"/>
  <c r="J27" i="11"/>
  <c r="L27" i="11"/>
  <c r="K27" i="11"/>
  <c r="J22" i="11"/>
  <c r="L22" i="11"/>
  <c r="K22" i="11"/>
  <c r="L18" i="11"/>
  <c r="L54" i="11" s="1"/>
  <c r="K18" i="11"/>
  <c r="K54" i="11" s="1"/>
  <c r="J18" i="11"/>
  <c r="J13" i="11"/>
  <c r="L13" i="11"/>
  <c r="K13" i="11"/>
  <c r="G80" i="11"/>
  <c r="G59" i="11"/>
  <c r="G48" i="11"/>
  <c r="G39" i="11"/>
  <c r="G32" i="11"/>
  <c r="G27" i="11"/>
  <c r="G22" i="11"/>
  <c r="G18" i="11"/>
  <c r="H84" i="11"/>
  <c r="H80" i="11"/>
  <c r="H66" i="11"/>
  <c r="H59" i="11"/>
  <c r="H78" i="11" s="1"/>
  <c r="H48" i="11"/>
  <c r="H44" i="11"/>
  <c r="H39" i="11"/>
  <c r="H32" i="11"/>
  <c r="H27" i="11"/>
  <c r="H22" i="11"/>
  <c r="H18" i="11"/>
  <c r="H13" i="11"/>
  <c r="I84" i="11"/>
  <c r="I80" i="11"/>
  <c r="I66" i="11"/>
  <c r="I59" i="11"/>
  <c r="I48" i="11"/>
  <c r="I44" i="11"/>
  <c r="I39" i="11"/>
  <c r="I32" i="11"/>
  <c r="I27" i="11"/>
  <c r="I22" i="11"/>
  <c r="I18" i="11"/>
  <c r="I13" i="11"/>
  <c r="G84" i="11"/>
  <c r="G66" i="11"/>
  <c r="G44" i="11"/>
  <c r="D29" i="8"/>
  <c r="D67" i="6"/>
  <c r="D68" i="6" s="1"/>
  <c r="B887" i="10"/>
  <c r="B888" i="10"/>
  <c r="D115" i="2"/>
  <c r="D116" i="2" s="1"/>
  <c r="E113" i="5"/>
  <c r="E114" i="5" s="1"/>
  <c r="E113" i="4"/>
  <c r="E114" i="4" s="1"/>
  <c r="E113" i="3"/>
  <c r="E114" i="3" s="1"/>
  <c r="F100" i="1"/>
  <c r="F99" i="1"/>
  <c r="D99" i="1"/>
  <c r="D100" i="1" s="1"/>
  <c r="P88" i="11" l="1"/>
  <c r="M88" i="11"/>
  <c r="J78" i="11"/>
  <c r="J88" i="11"/>
  <c r="G13" i="11"/>
  <c r="G56" i="11" s="1"/>
  <c r="P56" i="11"/>
  <c r="Q94" i="11"/>
  <c r="P54" i="11"/>
  <c r="R56" i="11"/>
  <c r="R94" i="11" s="1"/>
  <c r="Q78" i="11"/>
  <c r="M54" i="11"/>
  <c r="M78" i="11"/>
  <c r="M56" i="11"/>
  <c r="O56" i="11"/>
  <c r="O94" i="11" s="1"/>
  <c r="N78" i="11"/>
  <c r="J56" i="11"/>
  <c r="J54" i="11"/>
  <c r="K56" i="11"/>
  <c r="K94" i="11" s="1"/>
  <c r="L56" i="11"/>
  <c r="L94" i="11" s="1"/>
  <c r="K78" i="11"/>
  <c r="H54" i="11"/>
  <c r="H56" i="11"/>
  <c r="H88" i="11"/>
  <c r="G78" i="11"/>
  <c r="I78" i="11"/>
  <c r="I54" i="11"/>
  <c r="I88" i="11"/>
  <c r="I56" i="11"/>
  <c r="G54" i="11"/>
  <c r="G88" i="11"/>
  <c r="D30" i="8"/>
  <c r="P94" i="11" l="1"/>
  <c r="M94" i="11"/>
  <c r="J94" i="11"/>
  <c r="H94" i="11"/>
  <c r="I94" i="11"/>
  <c r="G94" i="11"/>
  <c r="B886" i="10"/>
  <c r="B885" i="10"/>
  <c r="B884" i="10"/>
  <c r="B883" i="10"/>
  <c r="B882" i="10"/>
  <c r="B881" i="10"/>
  <c r="B880" i="10"/>
  <c r="B879" i="10"/>
  <c r="B878" i="10"/>
  <c r="B877" i="10"/>
  <c r="B876" i="10"/>
  <c r="B875" i="10"/>
  <c r="B874" i="10"/>
  <c r="B873" i="10"/>
  <c r="B872" i="10"/>
  <c r="B871" i="10"/>
  <c r="B870" i="10"/>
  <c r="B869" i="10"/>
  <c r="B868" i="10"/>
  <c r="B867" i="10"/>
  <c r="B866" i="10"/>
  <c r="B865" i="10"/>
  <c r="B864" i="10"/>
  <c r="B863" i="10"/>
  <c r="B862" i="10"/>
  <c r="B861" i="10"/>
  <c r="B860" i="10"/>
  <c r="B859" i="10"/>
  <c r="B858" i="10"/>
  <c r="B857" i="10"/>
  <c r="B666" i="10"/>
  <c r="B665" i="10"/>
  <c r="B664" i="10"/>
  <c r="B663" i="10"/>
  <c r="B662" i="10"/>
  <c r="B661" i="10"/>
  <c r="B660" i="10"/>
  <c r="B659" i="10"/>
  <c r="B658" i="10"/>
  <c r="B657" i="10"/>
  <c r="B656" i="10"/>
  <c r="B655" i="10"/>
  <c r="B654" i="10"/>
  <c r="B653" i="10"/>
  <c r="B652" i="10"/>
  <c r="B651" i="10"/>
  <c r="B650" i="10"/>
  <c r="B649" i="10"/>
  <c r="B648" i="10"/>
  <c r="B647" i="10"/>
  <c r="B646" i="10"/>
  <c r="B645" i="10"/>
  <c r="B644" i="10"/>
  <c r="B643" i="10"/>
  <c r="B642" i="10"/>
  <c r="B641" i="10"/>
  <c r="B640" i="10"/>
  <c r="B639" i="10"/>
  <c r="B638" i="10"/>
  <c r="B636" i="10"/>
  <c r="B635" i="10"/>
  <c r="B634" i="10"/>
  <c r="B633" i="10"/>
  <c r="B631" i="10"/>
  <c r="B630" i="10"/>
  <c r="B629" i="10"/>
  <c r="B627" i="10"/>
  <c r="B626" i="10"/>
  <c r="B625" i="10"/>
  <c r="B623" i="10"/>
  <c r="B622" i="10"/>
  <c r="B621"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92" i="10"/>
  <c r="B793" i="10"/>
  <c r="B794" i="10"/>
  <c r="B795" i="10"/>
  <c r="B796" i="10"/>
  <c r="B797" i="10"/>
  <c r="B798" i="10"/>
  <c r="B799" i="10"/>
  <c r="B800" i="10"/>
  <c r="B801" i="10"/>
  <c r="B802" i="10"/>
  <c r="B803" i="10"/>
  <c r="B804" i="10"/>
  <c r="B805" i="10"/>
  <c r="B806" i="10"/>
  <c r="B807" i="10"/>
  <c r="B808" i="10"/>
  <c r="B809" i="10"/>
  <c r="B810" i="10"/>
  <c r="B811" i="10"/>
  <c r="B812" i="10"/>
  <c r="B813" i="10"/>
  <c r="B814" i="10"/>
  <c r="B815" i="10"/>
  <c r="B816" i="10"/>
  <c r="B817" i="10"/>
  <c r="B818" i="10"/>
  <c r="B819" i="10"/>
  <c r="B820" i="10"/>
  <c r="B821" i="10"/>
  <c r="B822" i="10"/>
  <c r="B823" i="10"/>
  <c r="B824" i="10"/>
  <c r="B825" i="10"/>
  <c r="B826" i="10"/>
  <c r="B827" i="10"/>
  <c r="B828" i="10"/>
  <c r="B829" i="10"/>
  <c r="B830" i="10"/>
  <c r="B832" i="10"/>
  <c r="B833" i="10"/>
  <c r="B834" i="10"/>
  <c r="B835" i="10"/>
  <c r="B836" i="10"/>
  <c r="B837" i="10"/>
  <c r="B838" i="10"/>
  <c r="B839" i="10"/>
  <c r="B840" i="10"/>
  <c r="B841" i="10"/>
  <c r="B842" i="10"/>
  <c r="B844" i="10"/>
  <c r="B845" i="10"/>
  <c r="B846" i="10"/>
  <c r="B847" i="10"/>
  <c r="B848" i="10"/>
  <c r="B849" i="10"/>
  <c r="B850" i="10"/>
  <c r="B851" i="10"/>
  <c r="B852" i="10"/>
  <c r="B853" i="10"/>
  <c r="B854" i="10"/>
  <c r="B855" i="10"/>
  <c r="B856"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5" i="10"/>
  <c r="B596" i="10"/>
  <c r="B597" i="10"/>
  <c r="B598" i="10"/>
  <c r="B599" i="10"/>
  <c r="B600" i="10"/>
  <c r="B601" i="10"/>
  <c r="B602" i="10"/>
  <c r="B603" i="10"/>
  <c r="B604" i="10"/>
  <c r="B605" i="10"/>
  <c r="B607" i="10"/>
  <c r="B608" i="10"/>
  <c r="B609" i="10"/>
  <c r="B610" i="10"/>
  <c r="B611" i="10"/>
  <c r="B612" i="10"/>
  <c r="B613" i="10"/>
  <c r="B614" i="10"/>
  <c r="B615" i="10"/>
  <c r="B616" i="10"/>
  <c r="B617" i="10"/>
  <c r="B618" i="10"/>
  <c r="B619" i="10"/>
  <c r="B429" i="10"/>
  <c r="B428" i="10"/>
  <c r="B427" i="10"/>
  <c r="B426" i="10"/>
  <c r="B425" i="10"/>
  <c r="B424" i="10"/>
  <c r="B423" i="10"/>
  <c r="B422" i="10"/>
  <c r="B421" i="10"/>
  <c r="B420" i="10"/>
  <c r="B419" i="10"/>
  <c r="B418" i="10"/>
  <c r="B417" i="10"/>
  <c r="B415" i="10"/>
  <c r="B414" i="10"/>
  <c r="B413" i="10"/>
  <c r="B412" i="10"/>
  <c r="B411" i="10"/>
  <c r="B410" i="10"/>
  <c r="B409" i="10"/>
  <c r="B408" i="10"/>
  <c r="B407" i="10"/>
  <c r="B406" i="10"/>
  <c r="B405" i="10"/>
  <c r="B403" i="10"/>
  <c r="B402" i="10"/>
  <c r="B401" i="10"/>
  <c r="B388" i="10"/>
  <c r="B375" i="10"/>
  <c r="B362" i="10"/>
  <c r="B400" i="10"/>
  <c r="B387" i="10"/>
  <c r="B374" i="10"/>
  <c r="B361" i="10"/>
  <c r="B399" i="10"/>
  <c r="B386" i="10"/>
  <c r="B373" i="10"/>
  <c r="B360" i="10"/>
  <c r="B398" i="10"/>
  <c r="B385" i="10"/>
  <c r="B372" i="10"/>
  <c r="B359" i="10"/>
  <c r="B397" i="10"/>
  <c r="B384" i="10"/>
  <c r="B370" i="10"/>
  <c r="B371" i="10"/>
  <c r="B358" i="10"/>
  <c r="B396" i="10"/>
  <c r="B383" i="10"/>
  <c r="B357" i="10"/>
  <c r="B395" i="10"/>
  <c r="B382" i="10"/>
  <c r="B369" i="10"/>
  <c r="B356" i="10"/>
  <c r="B394" i="10"/>
  <c r="B381" i="10"/>
  <c r="B368" i="10"/>
  <c r="B355" i="10"/>
  <c r="B393" i="10"/>
  <c r="B380" i="10"/>
  <c r="B367" i="10"/>
  <c r="B354" i="10"/>
  <c r="B392" i="10"/>
  <c r="B379" i="10"/>
  <c r="B366" i="10"/>
  <c r="B353" i="10"/>
  <c r="B391" i="10"/>
  <c r="B378" i="10"/>
  <c r="B365" i="10"/>
  <c r="B352" i="10"/>
  <c r="B390" i="10"/>
  <c r="B377" i="10"/>
  <c r="B364" i="10"/>
  <c r="B351" i="10"/>
  <c r="B389" i="10"/>
  <c r="B376" i="10"/>
  <c r="B363"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39" i="10"/>
  <c r="B238" i="10"/>
  <c r="B237" i="10"/>
  <c r="B235" i="10"/>
  <c r="B234" i="10"/>
  <c r="B233" i="10"/>
  <c r="B236" i="10"/>
  <c r="B232" i="10"/>
  <c r="B231" i="10"/>
  <c r="B230" i="10"/>
  <c r="B229" i="10"/>
  <c r="B228" i="10"/>
  <c r="B227" i="10"/>
  <c r="B226" i="10"/>
  <c r="B225" i="10"/>
  <c r="B224" i="10"/>
  <c r="B223" i="10"/>
  <c r="B222" i="10"/>
  <c r="B221" i="10"/>
  <c r="B220" i="10"/>
  <c r="B209" i="10"/>
  <c r="B219" i="10"/>
  <c r="B218" i="10"/>
  <c r="B217" i="10"/>
  <c r="B216" i="10"/>
  <c r="B215" i="10"/>
  <c r="B214" i="10"/>
  <c r="B213" i="10"/>
  <c r="B212" i="10"/>
  <c r="B211" i="10"/>
  <c r="B208" i="10"/>
  <c r="B207" i="10"/>
  <c r="B206" i="10"/>
  <c r="B205" i="10"/>
  <c r="B204" i="10"/>
  <c r="B203" i="10"/>
  <c r="B202" i="10"/>
  <c r="B201" i="10"/>
  <c r="B200" i="10"/>
  <c r="B198" i="10"/>
  <c r="B197" i="10"/>
  <c r="B196" i="10"/>
  <c r="B195" i="10"/>
  <c r="B194" i="10"/>
  <c r="B193" i="10"/>
  <c r="B192" i="10"/>
  <c r="B191" i="10"/>
  <c r="B189" i="10"/>
  <c r="B188" i="10"/>
  <c r="B187" i="10"/>
  <c r="B186" i="10"/>
  <c r="B184" i="10"/>
  <c r="B183" i="10"/>
  <c r="B182" i="10"/>
  <c r="B181" i="10"/>
  <c r="B179" i="10"/>
  <c r="B178" i="10"/>
  <c r="B177" i="10"/>
  <c r="B176" i="10"/>
  <c r="B174" i="10"/>
  <c r="B173" i="10"/>
  <c r="B172" i="10"/>
  <c r="B171" i="10"/>
  <c r="B160" i="10"/>
  <c r="B161" i="10"/>
  <c r="B162" i="10"/>
  <c r="B163" i="10"/>
  <c r="B169" i="10"/>
  <c r="B168" i="10"/>
  <c r="B167" i="10"/>
  <c r="B166" i="10"/>
  <c r="B158" i="10"/>
  <c r="B157" i="10"/>
  <c r="B156" i="10"/>
  <c r="B155" i="10"/>
  <c r="B154" i="10"/>
  <c r="B153" i="10"/>
  <c r="B152" i="10"/>
  <c r="B151" i="10"/>
  <c r="B150" i="10"/>
  <c r="B149" i="10"/>
  <c r="B148" i="10"/>
  <c r="B147" i="10"/>
  <c r="B146" i="10"/>
  <c r="B145" i="10"/>
  <c r="B144" i="10"/>
  <c r="B143" i="10"/>
  <c r="B142" i="10"/>
  <c r="B141" i="10"/>
  <c r="B140" i="10"/>
  <c r="B139" i="10"/>
  <c r="B104" i="10"/>
  <c r="B89" i="10"/>
  <c r="B88" i="10"/>
  <c r="B87" i="10"/>
  <c r="B86" i="10"/>
  <c r="B85" i="10"/>
  <c r="B84" i="10"/>
  <c r="B83" i="10"/>
  <c r="B68" i="10"/>
  <c r="B67" i="10"/>
  <c r="B66" i="10"/>
  <c r="B65" i="10"/>
  <c r="B64" i="10"/>
  <c r="B63" i="10"/>
  <c r="B62" i="10"/>
  <c r="B51" i="10"/>
  <c r="B41"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3" i="10"/>
  <c r="B102" i="10"/>
  <c r="C38" i="9"/>
  <c r="C20" i="9"/>
  <c r="C29" i="9"/>
  <c r="C40" i="9" s="1"/>
  <c r="C41" i="9" s="1"/>
  <c r="B96" i="10"/>
  <c r="B95" i="10"/>
  <c r="B94" i="10"/>
  <c r="B93" i="10"/>
  <c r="B92" i="10"/>
  <c r="B91" i="10"/>
  <c r="B90" i="10"/>
  <c r="B75" i="10"/>
  <c r="B74" i="10"/>
  <c r="B73" i="10"/>
  <c r="B72" i="10"/>
  <c r="B71" i="10"/>
  <c r="B70" i="10"/>
  <c r="B69" i="10"/>
  <c r="B53" i="10"/>
  <c r="B80" i="10"/>
  <c r="B79" i="10"/>
  <c r="B78" i="10"/>
  <c r="B50" i="10"/>
  <c r="B52" i="10" s="1"/>
  <c r="B49" i="10"/>
  <c r="B40" i="10"/>
  <c r="B48" i="10" s="1"/>
  <c r="B39" i="10"/>
  <c r="B47" i="10" s="1"/>
  <c r="B38" i="10"/>
  <c r="B46" i="10" s="1"/>
  <c r="B37" i="10"/>
  <c r="B45" i="10" s="1"/>
  <c r="B101" i="10"/>
  <c r="B99" i="10"/>
  <c r="B97" i="10"/>
  <c r="B29" i="10"/>
  <c r="D94" i="11"/>
  <c r="F94" i="11" s="1"/>
  <c r="B36" i="10"/>
  <c r="B35" i="10"/>
  <c r="B34" i="10"/>
  <c r="B33" i="10"/>
  <c r="B32" i="10"/>
  <c r="B31" i="10"/>
  <c r="B30" i="10"/>
  <c r="B28" i="10"/>
  <c r="B27" i="10"/>
  <c r="B26" i="10"/>
  <c r="B25" i="10"/>
  <c r="D57" i="8"/>
  <c r="B24" i="10"/>
  <c r="B23" i="10"/>
  <c r="B22" i="10"/>
  <c r="B21" i="10"/>
  <c r="B20" i="10"/>
  <c r="B19" i="10"/>
  <c r="B18" i="10"/>
  <c r="B17" i="10"/>
  <c r="B16" i="10"/>
  <c r="B15" i="10"/>
  <c r="B14" i="10"/>
  <c r="B13" i="10"/>
  <c r="B12" i="10"/>
  <c r="B11" i="10"/>
  <c r="B10" i="10"/>
  <c r="B9" i="10"/>
  <c r="B8" i="10"/>
  <c r="B6" i="10"/>
  <c r="B5" i="10"/>
  <c r="B4" i="10"/>
  <c r="B3" i="10"/>
  <c r="B2" i="10"/>
  <c r="B1" i="10"/>
  <c r="B628" i="10" l="1"/>
  <c r="B831" i="10"/>
  <c r="B624" i="10"/>
  <c r="B632" i="10"/>
  <c r="B594" i="10"/>
  <c r="B170" i="10"/>
  <c r="B175" i="10"/>
  <c r="B185" i="10" s="1"/>
  <c r="B190" i="10"/>
  <c r="B54" i="10"/>
  <c r="B180" i="10"/>
  <c r="B164" i="10"/>
  <c r="B42" i="10"/>
  <c r="C84" i="11"/>
  <c r="B82" i="10" s="1"/>
  <c r="C80" i="11"/>
  <c r="B81" i="10" s="1"/>
  <c r="C66" i="11"/>
  <c r="B77" i="10" s="1"/>
  <c r="C59" i="11"/>
  <c r="C48" i="11"/>
  <c r="B61" i="10" s="1"/>
  <c r="C44" i="11"/>
  <c r="B60" i="10" s="1"/>
  <c r="C39" i="11"/>
  <c r="B59" i="10" s="1"/>
  <c r="C32" i="11"/>
  <c r="B58" i="10" s="1"/>
  <c r="C27" i="11"/>
  <c r="B57" i="10" s="1"/>
  <c r="C22" i="11"/>
  <c r="B56" i="10" s="1"/>
  <c r="C18" i="11"/>
  <c r="B55" i="10" s="1"/>
  <c r="C10" i="11"/>
  <c r="B76" i="10" l="1"/>
  <c r="C78" i="11"/>
  <c r="B100" i="10" s="1"/>
  <c r="C88" i="11"/>
  <c r="C56" i="11"/>
  <c r="C54" i="11"/>
  <c r="B98" i="10" s="1"/>
  <c r="B43" i="10"/>
  <c r="B44" i="10"/>
  <c r="C952" i="10"/>
  <c r="C951" i="10"/>
  <c r="C950" i="10"/>
  <c r="C948" i="10"/>
  <c r="C947" i="10"/>
  <c r="C945" i="10"/>
  <c r="C944" i="10"/>
  <c r="C943" i="10"/>
  <c r="C942" i="10"/>
  <c r="C941" i="10"/>
  <c r="C940" i="10"/>
  <c r="C938" i="10"/>
  <c r="C937" i="10"/>
  <c r="C965" i="10"/>
  <c r="B249" i="10"/>
  <c r="B248" i="10"/>
  <c r="B247" i="10"/>
  <c r="B246" i="10"/>
  <c r="B245" i="10"/>
  <c r="B244" i="10"/>
  <c r="B243" i="10"/>
  <c r="B242" i="10"/>
  <c r="B241" i="10"/>
  <c r="B240" i="10"/>
  <c r="B966" i="10"/>
  <c r="C966" i="10" s="1"/>
  <c r="C94" i="11" l="1"/>
  <c r="C42" i="9" s="1"/>
  <c r="B620" i="10"/>
  <c r="B637" i="10"/>
  <c r="B404" i="10"/>
  <c r="B7" i="10"/>
  <c r="B165" i="10"/>
  <c r="B967" i="10"/>
  <c r="C967" i="10" s="1"/>
  <c r="B159" i="10"/>
  <c r="B199" i="10"/>
  <c r="B210" i="10"/>
  <c r="B968" i="10" l="1"/>
  <c r="C968" i="10" s="1"/>
  <c r="B969" i="10" l="1"/>
  <c r="C969" i="10" s="1"/>
  <c r="B970" i="10" l="1"/>
  <c r="C970" i="10" s="1"/>
  <c r="B971" i="10" l="1"/>
  <c r="C971" i="10" s="1"/>
  <c r="B972" i="10" l="1"/>
  <c r="C972" i="10" s="1"/>
  <c r="B973" i="10" l="1"/>
  <c r="C973" i="10" s="1"/>
  <c r="B974" i="10" l="1"/>
  <c r="C974" i="10" s="1"/>
</calcChain>
</file>

<file path=xl/sharedStrings.xml><?xml version="1.0" encoding="utf-8"?>
<sst xmlns="http://schemas.openxmlformats.org/spreadsheetml/2006/main" count="3506" uniqueCount="1294">
  <si>
    <t>Apt/Residential Exists?</t>
  </si>
  <si>
    <t>Office Exists?</t>
  </si>
  <si>
    <t>Retail Exists?</t>
  </si>
  <si>
    <t>Hotel Exists?</t>
  </si>
  <si>
    <t>Industrial Exists?</t>
  </si>
  <si>
    <t>Parking Exists?</t>
  </si>
  <si>
    <t>Mixed Use</t>
  </si>
  <si>
    <t>Parcel 1</t>
  </si>
  <si>
    <t>Parcel 2</t>
  </si>
  <si>
    <t>Parcel 3</t>
  </si>
  <si>
    <t>Parcel 4</t>
  </si>
  <si>
    <t>Parcel 5</t>
  </si>
  <si>
    <t>Parcel 6</t>
  </si>
  <si>
    <t>Parcel 7</t>
  </si>
  <si>
    <t>Parcel 8</t>
  </si>
  <si>
    <t>Parcel 9</t>
  </si>
  <si>
    <t>Parcel 10</t>
  </si>
  <si>
    <t>Land Size</t>
  </si>
  <si>
    <t>Gross Building Area</t>
  </si>
  <si>
    <t>Net Building Area</t>
  </si>
  <si>
    <t>Floor Area</t>
  </si>
  <si>
    <t>Building Footprint</t>
  </si>
  <si>
    <t>Building Stories</t>
  </si>
  <si>
    <t>Building Type</t>
  </si>
  <si>
    <t>Exterior Construction</t>
  </si>
  <si>
    <t>Building Frame</t>
  </si>
  <si>
    <t>Incentive Class Type</t>
  </si>
  <si>
    <t>Project Type</t>
  </si>
  <si>
    <t>Total Property Value: Assessed Valuation at Completion</t>
  </si>
  <si>
    <t>Assessed Apreciation</t>
  </si>
  <si>
    <t>Apartments</t>
  </si>
  <si>
    <t>Office</t>
  </si>
  <si>
    <t>Retail</t>
  </si>
  <si>
    <t>Hotel</t>
  </si>
  <si>
    <t>Industrial</t>
  </si>
  <si>
    <t>Public Parking</t>
  </si>
  <si>
    <t>1.0 Property Acquisition - Amount</t>
  </si>
  <si>
    <t>2.0 Legal &amp; Professional Services - Amount</t>
  </si>
  <si>
    <t>3.0 Closing Costs - Amount</t>
  </si>
  <si>
    <t>4.0 Other Related Costs - Amount</t>
  </si>
  <si>
    <t>1.0 Property Acquisition - Start Date</t>
  </si>
  <si>
    <t>2.0 Legal &amp; Professional Services - Start Date</t>
  </si>
  <si>
    <t>3.0 Closing Costs - Start Date</t>
  </si>
  <si>
    <t>4.0 Other Related Costs - Start Date</t>
  </si>
  <si>
    <t>1.0 Property Acquisition - Duration</t>
  </si>
  <si>
    <t>2.0 Legal &amp; Professional Services - Duration</t>
  </si>
  <si>
    <t>3.0 Closing Costs - Duration</t>
  </si>
  <si>
    <t>4.0 Other Related Costs - Duration</t>
  </si>
  <si>
    <t>G10 Site Preparation: Site Clearing; Demolition &amp; Relocations; Earthwork -Amount</t>
  </si>
  <si>
    <t>G10 SIte Preparation: Hazardous Waste Remediation -Amount</t>
  </si>
  <si>
    <t>G10 Site Preparation: Site Clearing; Demolition &amp; Relocations; Earthwork -Start Date</t>
  </si>
  <si>
    <t>G10 SIte Preparation: Hazardous Waste Remediation -Start Date</t>
  </si>
  <si>
    <t>G10 Site Preparation: Site Clearing; Demolition &amp; Relocations; Earthwork -Duration</t>
  </si>
  <si>
    <t>G10 SIte Preparation: Hazardous Waste Remediation -Duration</t>
  </si>
  <si>
    <t>A Substructure - Amount</t>
  </si>
  <si>
    <t>B Shell - Amount</t>
  </si>
  <si>
    <t>C Interiors - Amount</t>
  </si>
  <si>
    <t>D Services - Amount</t>
  </si>
  <si>
    <t>E Equipment, Furnishings &amp; Fixtures - Amount</t>
  </si>
  <si>
    <t>F Special Construction &amp; Demolition - Amount</t>
  </si>
  <si>
    <t>G Building Sitework (Part 2) - Amount</t>
  </si>
  <si>
    <t>A Substructure - Start Date</t>
  </si>
  <si>
    <t>B Shell - Start Date</t>
  </si>
  <si>
    <t>C Interiors - Start Date</t>
  </si>
  <si>
    <t>D Services - Start Date</t>
  </si>
  <si>
    <t>E Equipment, Furnishings &amp; Fixtures - Start Date</t>
  </si>
  <si>
    <t>F Special Construction &amp; Demolition - Start Date</t>
  </si>
  <si>
    <t>G Building Sitework (Part 2) - Start Date</t>
  </si>
  <si>
    <t>A Substructure - Duration</t>
  </si>
  <si>
    <t>B Shell - Duration</t>
  </si>
  <si>
    <t>C Interiors - Duration</t>
  </si>
  <si>
    <t>D Services - Duration</t>
  </si>
  <si>
    <t>E Equipment, Furnishings &amp; Fixtures - Duration</t>
  </si>
  <si>
    <t>F Special Construction &amp; Demolition - Duration</t>
  </si>
  <si>
    <t>G Building Sitework (Part 2) - Duration</t>
  </si>
  <si>
    <t>1.0 Professional Services - Amount</t>
  </si>
  <si>
    <t>2.0 Construction Management - Amount</t>
  </si>
  <si>
    <t>3.0 Permits &amp; Titles (e.g. building inspection, permit application, permit filing, occupancy permits) - Amount</t>
  </si>
  <si>
    <t>4.0 Construction Equipment, Rentals &amp; Tools - Amount</t>
  </si>
  <si>
    <t>5.0 Developer Fee - Amount</t>
  </si>
  <si>
    <t>7.0 General Conditions &amp; Requirements - Amount</t>
  </si>
  <si>
    <t>8.0 Overhead &amp; Profit - Amount</t>
  </si>
  <si>
    <t>1.0 Professional Services - Start Date</t>
  </si>
  <si>
    <t>2.0 Construction Management - Start Date</t>
  </si>
  <si>
    <t>3.0 Permits &amp; Titles (e.g. building inspection, permit application, permit filing, occupancy permits) - Start Date</t>
  </si>
  <si>
    <t>4.0 Construction Equipment, Rentals &amp; Tools - Start Date</t>
  </si>
  <si>
    <t>5.0 Developer Fee - Start Date</t>
  </si>
  <si>
    <t>7.0 General Conditions &amp; Requirements - Start Date</t>
  </si>
  <si>
    <t>8.0 Overhead &amp; Profit - Start Date</t>
  </si>
  <si>
    <t>1.0 Professional Services - Duration</t>
  </si>
  <si>
    <t>2.0 Construction Management - Duration</t>
  </si>
  <si>
    <t>3.0 Permits &amp; Titles (e.g. building inspection, permit application, permit filing, occupancy permits) - Duration</t>
  </si>
  <si>
    <t>4.0 Construction Equipment, Rentals &amp; Tools - Duration</t>
  </si>
  <si>
    <t>5.0 Developer Fee - Duration</t>
  </si>
  <si>
    <t>7.0 General Conditions &amp; Requirements - Duration</t>
  </si>
  <si>
    <t>8.0 Overhead &amp; Profit - Duration</t>
  </si>
  <si>
    <t>Z Hard Cost Contingency</t>
  </si>
  <si>
    <t>Z00 Hard Cost Contingency Percentage</t>
  </si>
  <si>
    <t>6.0 Soft Cost Contingency</t>
  </si>
  <si>
    <t>6.1 Soft Cost Contingency Percentage</t>
  </si>
  <si>
    <t>Annual Construction Cost Escalation</t>
  </si>
  <si>
    <t>Permanent Loan - Amount</t>
  </si>
  <si>
    <t>Permanent Loan - Interest Rate</t>
  </si>
  <si>
    <t>Permanent Loan - Origination Date</t>
  </si>
  <si>
    <t>Permanent Loan - Term</t>
  </si>
  <si>
    <t>TIF Request Amount</t>
  </si>
  <si>
    <t>Equity Source 1</t>
  </si>
  <si>
    <t>Equity Source 2</t>
  </si>
  <si>
    <t>Equity Source 3</t>
  </si>
  <si>
    <t>Equity Source 4</t>
  </si>
  <si>
    <t>Equity Source 5</t>
  </si>
  <si>
    <t>Equity Source 6</t>
  </si>
  <si>
    <t>Additional Sources 1</t>
  </si>
  <si>
    <t>Additional Sources 2</t>
  </si>
  <si>
    <t>Additional Sources 3</t>
  </si>
  <si>
    <t>Additional Sources 4</t>
  </si>
  <si>
    <t>Additional Sources 5</t>
  </si>
  <si>
    <t>Additional Sources 6</t>
  </si>
  <si>
    <t>Senior Loan 1 - Amount</t>
  </si>
  <si>
    <t>Senior Loan 2 - Amount</t>
  </si>
  <si>
    <t>Senior Loan 3 - Amount</t>
  </si>
  <si>
    <t>Senior Loan 4 - Amount</t>
  </si>
  <si>
    <t>Senior Loan 5 - Amount</t>
  </si>
  <si>
    <t>Bridge Loan 1 - Amount</t>
  </si>
  <si>
    <t>Bridge Loan 2 - Amount</t>
  </si>
  <si>
    <t>Bridge Loan 3 - Amount</t>
  </si>
  <si>
    <t>Bridge Loan 4 - Amount</t>
  </si>
  <si>
    <t>Bridge Loan 5 - Amount</t>
  </si>
  <si>
    <t>Senior Loan 1 - Interest Rate</t>
  </si>
  <si>
    <t>Senior Loan 2 - Interest Rate</t>
  </si>
  <si>
    <t>Senior Loan 3 - Interest Rate</t>
  </si>
  <si>
    <t>Senior Loan 4 - Interest Rate</t>
  </si>
  <si>
    <t>Senior Loan 5 - Interest Rate</t>
  </si>
  <si>
    <t>Bridge Loan 1 - Interest Rate</t>
  </si>
  <si>
    <t>Bridge Loan 2 - Interest Rate</t>
  </si>
  <si>
    <t>Bridge Loan 3 - Interest Rate</t>
  </si>
  <si>
    <t>Bridge Loan 4 - Interest Rate</t>
  </si>
  <si>
    <t>Bridge Loan 5 - Interest Rate</t>
  </si>
  <si>
    <t>Senior Loan 1 - Origination Date</t>
  </si>
  <si>
    <t>Senior Loan 2 - Origination Date</t>
  </si>
  <si>
    <t>Senior Loan 3 - Origination Date</t>
  </si>
  <si>
    <t>Senior Loan 4 - Origination Date</t>
  </si>
  <si>
    <t>Senior Loan 5 - Origination Date</t>
  </si>
  <si>
    <t>Bridge Loan 1 - Origination Date</t>
  </si>
  <si>
    <t>Bridge Loan 2 - Origination Date</t>
  </si>
  <si>
    <t>Bridge Loan 3 - Origination Date</t>
  </si>
  <si>
    <t>Bridge Loan 4 - Origination Date</t>
  </si>
  <si>
    <t>Bridge Loan 5 - Origination Date</t>
  </si>
  <si>
    <t>Senior Loan 1 - Loan Term</t>
  </si>
  <si>
    <t>Senior Loan 2 - Loan Term</t>
  </si>
  <si>
    <t>Senior Loan 3 - Loan Term</t>
  </si>
  <si>
    <t>Senior Loan 4 - Loan Term</t>
  </si>
  <si>
    <t>Senior Loan 5 - Loan Term</t>
  </si>
  <si>
    <t>Bridge Loan 1 - Loan Term</t>
  </si>
  <si>
    <t>Bridge Loan 2 - Loan Term</t>
  </si>
  <si>
    <t>Bridge Loan 3 - Loan Term</t>
  </si>
  <si>
    <t>Bridge Loan 4 - Loan Term</t>
  </si>
  <si>
    <t>Bridge Loan 5 - Loan Term</t>
  </si>
  <si>
    <t>Apartment Revenue Simple or Complex - Market</t>
  </si>
  <si>
    <t>Apt Studio Units Market Rate</t>
  </si>
  <si>
    <t>Apt 1 Bedroom Units Market Rate</t>
  </si>
  <si>
    <t>Apt 2 Bedroom Units Market Rate</t>
  </si>
  <si>
    <t>Apt 3 Bedroom Units Market Rate</t>
  </si>
  <si>
    <t>Apt Total Unit Count Units Market Rate</t>
  </si>
  <si>
    <t>Apartment Revenue Simple or Complex - Affordable</t>
  </si>
  <si>
    <t>Apt Studio Units Affordable Rate</t>
  </si>
  <si>
    <t>Apt 1 Bedroom Units Affordable Rate</t>
  </si>
  <si>
    <t>Apt 2 Bedroom Units Affordable Rate</t>
  </si>
  <si>
    <t>Apt 3 Bedroom Units Affordable Rate</t>
  </si>
  <si>
    <t>Apt Total Unit Count Units Affordable Rate</t>
  </si>
  <si>
    <t>Apt Studio Unit Size Market Rate</t>
  </si>
  <si>
    <t>Apt 1 Bedroom Unit Size Market Rate</t>
  </si>
  <si>
    <t>Apt 2 Bedroom Unit Size Market Rate</t>
  </si>
  <si>
    <t>Apt 3 Bedroom Unit Size Market Rate</t>
  </si>
  <si>
    <t>Apt Total Unit Count Unit Size Market Rate</t>
  </si>
  <si>
    <t>Apt Studio Unit Size Affordable Rate</t>
  </si>
  <si>
    <t>Apt 1 Bedroom Unit Size Affordable Rate</t>
  </si>
  <si>
    <t>Apt 2 Bedroom Unit Size Affordable Rate</t>
  </si>
  <si>
    <t>Apt 3 Bedroom Unit Size Affordable Rate</t>
  </si>
  <si>
    <t>Apt Total Unit Count Unit Size Affordable Rate</t>
  </si>
  <si>
    <t>Apt Studio Rent Market Rate</t>
  </si>
  <si>
    <t>Apt 1 Bedroom Rent Market Rate</t>
  </si>
  <si>
    <t>Apt 2 Bedroom Rent Market Rate</t>
  </si>
  <si>
    <t>Apt 3 Bedroom Rent Market Rate</t>
  </si>
  <si>
    <t>Apt Total Unit Count Rent Market Rate</t>
  </si>
  <si>
    <t>Apt Studio Rent Affordable Rate</t>
  </si>
  <si>
    <t>Apt 1 Bedroom Rent Affordable Rate</t>
  </si>
  <si>
    <t>Apt 2 Bedroom Rent Affordable Rate</t>
  </si>
  <si>
    <t>Apt 3 Bedroom Rent Affordable Rate</t>
  </si>
  <si>
    <t>Apt Total Unit Count Rent Affordable Rate</t>
  </si>
  <si>
    <t>Other Income - Market</t>
  </si>
  <si>
    <t>Other Income - Affordable</t>
  </si>
  <si>
    <t>Revenue Escalation - Market</t>
  </si>
  <si>
    <t>Revenue Escalation - Affordable</t>
  </si>
  <si>
    <t>Average Vacancy Rate - Market</t>
  </si>
  <si>
    <t>Average Vacancy Rate - Affordable</t>
  </si>
  <si>
    <t>Average Credit Loss - Market</t>
  </si>
  <si>
    <t>Average Credit Loss - Affordable</t>
  </si>
  <si>
    <t>Apartment Expense Simple or Complex - Market</t>
  </si>
  <si>
    <t>Payroll &amp; Benefits - Market</t>
  </si>
  <si>
    <t>Administrative - Market</t>
  </si>
  <si>
    <t>Marketing &amp; Leasing - Market</t>
  </si>
  <si>
    <t>Utilities - Market</t>
  </si>
  <si>
    <t>Repairs &amp; Maintenance - Market</t>
  </si>
  <si>
    <t>Janitorial &amp; Cleaning - Market</t>
  </si>
  <si>
    <t>Insurance - Market</t>
  </si>
  <si>
    <t>Miscellaneous Expenses - Market</t>
  </si>
  <si>
    <t>Total Operating Expenses - Market</t>
  </si>
  <si>
    <t>Expense Ratio Without Real Estate Taxes - Market</t>
  </si>
  <si>
    <t>Apartment Expense Simple or Complex - Affordable</t>
  </si>
  <si>
    <t>Payroll &amp; Benefits - Affordable</t>
  </si>
  <si>
    <t>Administrative - Affordable</t>
  </si>
  <si>
    <t>Marketing &amp; Leasing - Affordable</t>
  </si>
  <si>
    <t>Utilities - Affordable</t>
  </si>
  <si>
    <t>Repairs &amp; Maintenance - Affordable</t>
  </si>
  <si>
    <t>Janitorial &amp; Cleaning - Affordable</t>
  </si>
  <si>
    <t>Insurance - Affordable</t>
  </si>
  <si>
    <t>Miscellaneous Expenses - Affordable</t>
  </si>
  <si>
    <t>Total Operating Expenses - Affordable</t>
  </si>
  <si>
    <t>Expense Ratio Without Real Estate Taxes - Affordable</t>
  </si>
  <si>
    <t>Management Fee - Market</t>
  </si>
  <si>
    <t>Management Fee - Affordable</t>
  </si>
  <si>
    <t>Reserve Requirement - Market</t>
  </si>
  <si>
    <t>Reserve Requirement - Affordable</t>
  </si>
  <si>
    <t>Expense Escalations - Market</t>
  </si>
  <si>
    <t>Expense Escalations - Affordable</t>
  </si>
  <si>
    <t>Pre-leased Percentage - Market</t>
  </si>
  <si>
    <t>Pre-leased Percentage - Affordable</t>
  </si>
  <si>
    <t>Leases Per Month - Market</t>
  </si>
  <si>
    <t>Leases Per Month - Affordable</t>
  </si>
  <si>
    <t>Cap Rate - Overall</t>
  </si>
  <si>
    <t>Lobby &amp; Amenities Attributed To Use - Market</t>
  </si>
  <si>
    <t>Circulation Loss - Market</t>
  </si>
  <si>
    <t>Building Core Loss - Market</t>
  </si>
  <si>
    <t>Mechanical Loss - Market</t>
  </si>
  <si>
    <t>Lobby &amp; Amenities Attributed To Use - Affordable</t>
  </si>
  <si>
    <t>Circulation Loss - Affordable</t>
  </si>
  <si>
    <t>Building Core Loss - Affordable</t>
  </si>
  <si>
    <t>Mechanical Loss - Affordable</t>
  </si>
  <si>
    <t>Retail tenant 1</t>
  </si>
  <si>
    <t>Retail tenant 2</t>
  </si>
  <si>
    <t>Retail tenant 3</t>
  </si>
  <si>
    <t>Retail tenant 4</t>
  </si>
  <si>
    <t>Retail tenant 5</t>
  </si>
  <si>
    <t>Retail tenant 6</t>
  </si>
  <si>
    <t>Retail tenant 7</t>
  </si>
  <si>
    <t>Retail tenant 8</t>
  </si>
  <si>
    <t>Retail tenant 9</t>
  </si>
  <si>
    <t>Retail tenant 10</t>
  </si>
  <si>
    <t>Retail type 1</t>
  </si>
  <si>
    <t>Retail type 2</t>
  </si>
  <si>
    <t>Retail type 3</t>
  </si>
  <si>
    <t>Retail type 4</t>
  </si>
  <si>
    <t>Retail type 5</t>
  </si>
  <si>
    <t>Retail type 6</t>
  </si>
  <si>
    <t>Retail type 7</t>
  </si>
  <si>
    <t>Retail type 8</t>
  </si>
  <si>
    <t>Retail type 9</t>
  </si>
  <si>
    <t>Retail type 10</t>
  </si>
  <si>
    <t>Retail rentable area 1</t>
  </si>
  <si>
    <t>Retail rentable area 2</t>
  </si>
  <si>
    <t>Retail rentable area 3</t>
  </si>
  <si>
    <t>Retail rentable area 4</t>
  </si>
  <si>
    <t>Retail rentable area 5</t>
  </si>
  <si>
    <t>Retail rentable area 6</t>
  </si>
  <si>
    <t>Retail rentable area 7</t>
  </si>
  <si>
    <t>Retail rentable area 8</t>
  </si>
  <si>
    <t>Retail rentable area 9</t>
  </si>
  <si>
    <t>Retail rentable area 10</t>
  </si>
  <si>
    <t>Retail start date 1</t>
  </si>
  <si>
    <t>Retail start date 2</t>
  </si>
  <si>
    <t>Retail start date 3</t>
  </si>
  <si>
    <t>Retail start date 4</t>
  </si>
  <si>
    <t>Retail start date 5</t>
  </si>
  <si>
    <t>Retail start date 6</t>
  </si>
  <si>
    <t>Retail start date 7</t>
  </si>
  <si>
    <t>Retail start date 8</t>
  </si>
  <si>
    <t>Retail start date 9</t>
  </si>
  <si>
    <t>Retail start date 10</t>
  </si>
  <si>
    <t>Retail lease length 1</t>
  </si>
  <si>
    <t>Retail lease length 2</t>
  </si>
  <si>
    <t>Retail lease length 3</t>
  </si>
  <si>
    <t>Retail lease length 4</t>
  </si>
  <si>
    <t>Retail lease length 5</t>
  </si>
  <si>
    <t>Retail lease length 6</t>
  </si>
  <si>
    <t>Retail lease length 7</t>
  </si>
  <si>
    <t>Retail lease length 8</t>
  </si>
  <si>
    <t>Retail lease length 9</t>
  </si>
  <si>
    <t>Retail lease length 10</t>
  </si>
  <si>
    <t>Retail base rent 1</t>
  </si>
  <si>
    <t>Retail base rent 2</t>
  </si>
  <si>
    <t>Retail base rent 3</t>
  </si>
  <si>
    <t>Retail base rent 4</t>
  </si>
  <si>
    <t>Retail base rent 5</t>
  </si>
  <si>
    <t>Retail base rent 6</t>
  </si>
  <si>
    <t>Retail base rent 7</t>
  </si>
  <si>
    <t>Retail base rent 8</t>
  </si>
  <si>
    <t>Retail base rent 9</t>
  </si>
  <si>
    <t>Retail base rent 10</t>
  </si>
  <si>
    <t>Retail rent escalation 1</t>
  </si>
  <si>
    <t>Retail rent escalation 2</t>
  </si>
  <si>
    <t>Retail rent escalation 3</t>
  </si>
  <si>
    <t>Retail rent escalation 4</t>
  </si>
  <si>
    <t>Retail rent escalation 5</t>
  </si>
  <si>
    <t>Retail rent escalation 6</t>
  </si>
  <si>
    <t>Retail rent escalation 7</t>
  </si>
  <si>
    <t>Retail rent escalation 8</t>
  </si>
  <si>
    <t>Retail rent escalation 9</t>
  </si>
  <si>
    <t>Retail rent escalation 10</t>
  </si>
  <si>
    <t>Retail step 1</t>
  </si>
  <si>
    <t>Retail step 2</t>
  </si>
  <si>
    <t>Retail step 3</t>
  </si>
  <si>
    <t>Retail step 4</t>
  </si>
  <si>
    <t>Retail step 5</t>
  </si>
  <si>
    <t>Retail step 6</t>
  </si>
  <si>
    <t>Retail step 7</t>
  </si>
  <si>
    <t>Retail step 8</t>
  </si>
  <si>
    <t>Retail step 9</t>
  </si>
  <si>
    <t>Retail step 10</t>
  </si>
  <si>
    <t>Retail commissions 1</t>
  </si>
  <si>
    <t>Retail commissions 2</t>
  </si>
  <si>
    <t>Retail commissions 3</t>
  </si>
  <si>
    <t>Retail commissions 4</t>
  </si>
  <si>
    <t>Retail commissions 5</t>
  </si>
  <si>
    <t>Retail commissions 6</t>
  </si>
  <si>
    <t>Retail commissions 7</t>
  </si>
  <si>
    <t>Retail commissions 8</t>
  </si>
  <si>
    <t>Retail commissions 9</t>
  </si>
  <si>
    <t>Retail commissions 10</t>
  </si>
  <si>
    <t>Retail TI Allowance 1</t>
  </si>
  <si>
    <t>Retail TI Allowance 2</t>
  </si>
  <si>
    <t>Retail TI Allowance 3</t>
  </si>
  <si>
    <t>Retail TI Allowance 4</t>
  </si>
  <si>
    <t>Retail TI Allowance 5</t>
  </si>
  <si>
    <t>Retail TI Allowance 6</t>
  </si>
  <si>
    <t>Retail TI Allowance 7</t>
  </si>
  <si>
    <t>Retail TI Allowance 8</t>
  </si>
  <si>
    <t>Retail TI Allowance 9</t>
  </si>
  <si>
    <t>Retail TI Allowance 10</t>
  </si>
  <si>
    <t>Retail Free Rent 1</t>
  </si>
  <si>
    <t>Retail Free Rent 2</t>
  </si>
  <si>
    <t>Retail Free Rent 3</t>
  </si>
  <si>
    <t>Retail Free Rent 4</t>
  </si>
  <si>
    <t>Retail Free Rent 5</t>
  </si>
  <si>
    <t>Retail Free Rent 6</t>
  </si>
  <si>
    <t>Retail Free Rent 7</t>
  </si>
  <si>
    <t>Retail Free Rent 8</t>
  </si>
  <si>
    <t>Retail Free Rent 9</t>
  </si>
  <si>
    <t>Retail Free Rent 10</t>
  </si>
  <si>
    <t>Tenant Count - Ground Floor Lease</t>
  </si>
  <si>
    <t>Average Space Size - Ground Floor Lease</t>
  </si>
  <si>
    <t>Contract Term - Ground Floor Lease</t>
  </si>
  <si>
    <t>Annual Rental Rate - Ground Floor Lease</t>
  </si>
  <si>
    <t>Average Rent Escalation - Ground Floor Lease</t>
  </si>
  <si>
    <t>Free Rent Concession - Ground Floor Lease</t>
  </si>
  <si>
    <t>TI Allowance - Ground Floor Lease</t>
  </si>
  <si>
    <t>Commissions - Ground Floor Lease</t>
  </si>
  <si>
    <t>Vacancy Loss - Ground Floor Lease</t>
  </si>
  <si>
    <t>Credit Loss - Ground Floor Lease</t>
  </si>
  <si>
    <t>Pre-leased Percentage - Ground Floor Lease</t>
  </si>
  <si>
    <t>Absorption - Ground Floor Lease</t>
  </si>
  <si>
    <t>Absorption Frequency - Ground Floor Lease</t>
  </si>
  <si>
    <t>Tenant Count - Small Box Lease</t>
  </si>
  <si>
    <t>Average Space Size - Small Box Lease</t>
  </si>
  <si>
    <t>Contract Term - Small Box Lease</t>
  </si>
  <si>
    <t>Annual Rental Rate - Small Box Lease</t>
  </si>
  <si>
    <t>Average Rent Escalation - Small Box Lease</t>
  </si>
  <si>
    <t>Free Rent Concession - Small Box Lease</t>
  </si>
  <si>
    <t>TI Allowance - Small Box Lease</t>
  </si>
  <si>
    <t>Commissions - Small Box Lease</t>
  </si>
  <si>
    <t>Vacancy Loss - Small Box Lease</t>
  </si>
  <si>
    <t>Credit Loss - Small Box Lease</t>
  </si>
  <si>
    <t>Pre-leased Percentage - Small Box Lease</t>
  </si>
  <si>
    <t>Absorption - Small Box Lease</t>
  </si>
  <si>
    <t>Absorption Frequency - Small Box Lease</t>
  </si>
  <si>
    <t>Tenant Count - Big Box Lease</t>
  </si>
  <si>
    <t>Average Space Size - Big Box Lease</t>
  </si>
  <si>
    <t>Contract Term - Big Box Lease</t>
  </si>
  <si>
    <t>Annual Rental Rate - Big Box Lease</t>
  </si>
  <si>
    <t>Average Rent Escalation - Big Box Lease</t>
  </si>
  <si>
    <t>Free Rent Concession - Big Box Lease</t>
  </si>
  <si>
    <t>TI Allowance - Big Box Lease</t>
  </si>
  <si>
    <t>Commissions - Big Box Lease</t>
  </si>
  <si>
    <t>Vacancy Loss - Big Box Lease</t>
  </si>
  <si>
    <t>Credit Loss - Big Box Lease</t>
  </si>
  <si>
    <t>Pre-leased Percentage - Big Box Lease</t>
  </si>
  <si>
    <t>Absorption - Big Box Lease</t>
  </si>
  <si>
    <t>Absorption Frequency - Big Box Lease</t>
  </si>
  <si>
    <t>Tenant Count - Outlot Lease</t>
  </si>
  <si>
    <t>Average Space Size - Outlot Lease</t>
  </si>
  <si>
    <t>Contract Term - Outlot Lease</t>
  </si>
  <si>
    <t>Annual Rental Rate - Outlot Lease</t>
  </si>
  <si>
    <t>Average Rent Escalation - Outlot Lease</t>
  </si>
  <si>
    <t>Free Rent Concession - Outlot Lease</t>
  </si>
  <si>
    <t>TI Allowance - Outlot Lease</t>
  </si>
  <si>
    <t>Commissions - Outlot Lease</t>
  </si>
  <si>
    <t>Vacancy Loss - Outlot Lease</t>
  </si>
  <si>
    <t>Credit Loss - Outlot Lease</t>
  </si>
  <si>
    <t>Pre-leased Percentage - Outlot Lease</t>
  </si>
  <si>
    <t>Absorption - Outlot Lease</t>
  </si>
  <si>
    <t>Absorption Frequency - Outlot Lease</t>
  </si>
  <si>
    <t>Revenue Per Month</t>
  </si>
  <si>
    <t>Other Revenue Escalation</t>
  </si>
  <si>
    <t>Retail Expense Simple or Complex</t>
  </si>
  <si>
    <t>Utilities - Amount</t>
  </si>
  <si>
    <t>Repairs &amp; Maintenance - Amount</t>
  </si>
  <si>
    <t>Janitorial &amp; Cleaning - Amount</t>
  </si>
  <si>
    <t>Insurance - Amount</t>
  </si>
  <si>
    <t>Miscellaneous Expenses - Amount</t>
  </si>
  <si>
    <t>Total Operating Expenses - Amount</t>
  </si>
  <si>
    <t>Utilities - Paid By</t>
  </si>
  <si>
    <t>Repairs &amp; Maintenance - Paid By</t>
  </si>
  <si>
    <t>Janitorial &amp; Cleaning - Paid By</t>
  </si>
  <si>
    <t>Insurance - Paid By</t>
  </si>
  <si>
    <t>Miscellaneous Expenses - Paid By</t>
  </si>
  <si>
    <t>Total Operating Expenses - Paid By</t>
  </si>
  <si>
    <t>Tenant / Landlord</t>
  </si>
  <si>
    <t>Expense Ratio Without Real Estate Taxes</t>
  </si>
  <si>
    <t>Management Fee</t>
  </si>
  <si>
    <t>Reserve Requirement</t>
  </si>
  <si>
    <t>Expense Escalations</t>
  </si>
  <si>
    <t>Cap Rate</t>
  </si>
  <si>
    <t>Lobby &amp; Amenities Attributed To Use - Area</t>
  </si>
  <si>
    <t>Circulation Loss - Area</t>
  </si>
  <si>
    <t>Building Core Loss - Area</t>
  </si>
  <si>
    <t>Mechanical Loss - Area</t>
  </si>
  <si>
    <t>Lobby &amp; Amenities Attributed To Use - In Rentable Space?</t>
  </si>
  <si>
    <t>Circulation Loss - In Rentable Space?</t>
  </si>
  <si>
    <t>Building Core Loss - In Rentable Space?</t>
  </si>
  <si>
    <t>Mechanical Loss - In Rentable Space?</t>
  </si>
  <si>
    <t>Office tenant 1</t>
  </si>
  <si>
    <t>Office tenant 2</t>
  </si>
  <si>
    <t>Office tenant 3</t>
  </si>
  <si>
    <t>Office tenant 4</t>
  </si>
  <si>
    <t>Office tenant 5</t>
  </si>
  <si>
    <t>Office tenant 6</t>
  </si>
  <si>
    <t>Office tenant 7</t>
  </si>
  <si>
    <t>Office tenant 8</t>
  </si>
  <si>
    <t>Office tenant 9</t>
  </si>
  <si>
    <t>Office tenant 10</t>
  </si>
  <si>
    <t>Office type 1</t>
  </si>
  <si>
    <t>Office type 2</t>
  </si>
  <si>
    <t>Office type 3</t>
  </si>
  <si>
    <t>Office type 4</t>
  </si>
  <si>
    <t>Office type 5</t>
  </si>
  <si>
    <t>Office type 6</t>
  </si>
  <si>
    <t>Office type 7</t>
  </si>
  <si>
    <t>Office type 8</t>
  </si>
  <si>
    <t>Office type 9</t>
  </si>
  <si>
    <t>Office type 10</t>
  </si>
  <si>
    <t>Office rentable area 1</t>
  </si>
  <si>
    <t>Office rentable area 2</t>
  </si>
  <si>
    <t>Office rentable area 3</t>
  </si>
  <si>
    <t>Office rentable area 4</t>
  </si>
  <si>
    <t>Office rentable area 5</t>
  </si>
  <si>
    <t>Office rentable area 6</t>
  </si>
  <si>
    <t>Office rentable area 7</t>
  </si>
  <si>
    <t>Office rentable area 8</t>
  </si>
  <si>
    <t>Office rentable area 9</t>
  </si>
  <si>
    <t>Office rentable area 10</t>
  </si>
  <si>
    <t>Office start date 1</t>
  </si>
  <si>
    <t>Office start date 2</t>
  </si>
  <si>
    <t>Office start date 3</t>
  </si>
  <si>
    <t>Office start date 4</t>
  </si>
  <si>
    <t>Office start date 5</t>
  </si>
  <si>
    <t>Office start date 6</t>
  </si>
  <si>
    <t>Office start date 7</t>
  </si>
  <si>
    <t>Office start date 8</t>
  </si>
  <si>
    <t>Office start date 9</t>
  </si>
  <si>
    <t>Office start date 10</t>
  </si>
  <si>
    <t>Office lease length 1</t>
  </si>
  <si>
    <t>Office lease length 2</t>
  </si>
  <si>
    <t>Office lease length 3</t>
  </si>
  <si>
    <t>Office lease length 4</t>
  </si>
  <si>
    <t>Office lease length 5</t>
  </si>
  <si>
    <t>Office lease length 6</t>
  </si>
  <si>
    <t>Office lease length 7</t>
  </si>
  <si>
    <t>Office lease length 8</t>
  </si>
  <si>
    <t>Office lease length 9</t>
  </si>
  <si>
    <t>Office lease length 10</t>
  </si>
  <si>
    <t>Office base rent 1</t>
  </si>
  <si>
    <t>Office base rent 2</t>
  </si>
  <si>
    <t>Office base rent 3</t>
  </si>
  <si>
    <t>Office base rent 4</t>
  </si>
  <si>
    <t>Office base rent 5</t>
  </si>
  <si>
    <t>Office base rent 6</t>
  </si>
  <si>
    <t>Office base rent 7</t>
  </si>
  <si>
    <t>Office base rent 8</t>
  </si>
  <si>
    <t>Office base rent 9</t>
  </si>
  <si>
    <t>Office base rent 10</t>
  </si>
  <si>
    <t>Office rent escalation 1</t>
  </si>
  <si>
    <t>Office rent escalation 2</t>
  </si>
  <si>
    <t>Office rent escalation 3</t>
  </si>
  <si>
    <t>Office rent escalation 4</t>
  </si>
  <si>
    <t>Office rent escalation 5</t>
  </si>
  <si>
    <t>Office rent escalation 6</t>
  </si>
  <si>
    <t>Office rent escalation 7</t>
  </si>
  <si>
    <t>Office rent escalation 8</t>
  </si>
  <si>
    <t>Office rent escalation 9</t>
  </si>
  <si>
    <t>Office rent escalation 10</t>
  </si>
  <si>
    <t>Office step 1</t>
  </si>
  <si>
    <t>Office step 2</t>
  </si>
  <si>
    <t>Office step 3</t>
  </si>
  <si>
    <t>Office step 4</t>
  </si>
  <si>
    <t>Office step 5</t>
  </si>
  <si>
    <t>Office step 6</t>
  </si>
  <si>
    <t>Office step 7</t>
  </si>
  <si>
    <t>Office step 8</t>
  </si>
  <si>
    <t>Office step 9</t>
  </si>
  <si>
    <t>Office step 10</t>
  </si>
  <si>
    <t>Office commissions 1</t>
  </si>
  <si>
    <t>Office commissions 2</t>
  </si>
  <si>
    <t>Office commissions 3</t>
  </si>
  <si>
    <t>Office commissions 4</t>
  </si>
  <si>
    <t>Office commissions 5</t>
  </si>
  <si>
    <t>Office commissions 6</t>
  </si>
  <si>
    <t>Office commissions 7</t>
  </si>
  <si>
    <t>Office commissions 8</t>
  </si>
  <si>
    <t>Office commissions 9</t>
  </si>
  <si>
    <t>Office commissions 10</t>
  </si>
  <si>
    <t>Office TI Allowance 1</t>
  </si>
  <si>
    <t>Office TI Allowance 2</t>
  </si>
  <si>
    <t>Office TI Allowance 3</t>
  </si>
  <si>
    <t>Office TI Allowance 4</t>
  </si>
  <si>
    <t>Office TI Allowance 5</t>
  </si>
  <si>
    <t>Office TI Allowance 6</t>
  </si>
  <si>
    <t>Office TI Allowance 7</t>
  </si>
  <si>
    <t>Office TI Allowance 8</t>
  </si>
  <si>
    <t>Office TI Allowance 9</t>
  </si>
  <si>
    <t>Office TI Allowance 10</t>
  </si>
  <si>
    <t>Office Free Rent 1</t>
  </si>
  <si>
    <t>Office Free Rent 2</t>
  </si>
  <si>
    <t>Office Free Rent 3</t>
  </si>
  <si>
    <t>Office Free Rent 4</t>
  </si>
  <si>
    <t>Office Free Rent 5</t>
  </si>
  <si>
    <t>Office Free Rent 6</t>
  </si>
  <si>
    <t>Office Free Rent 7</t>
  </si>
  <si>
    <t>Office Free Rent 8</t>
  </si>
  <si>
    <t>Office Free Rent 9</t>
  </si>
  <si>
    <t>Office Free Rent 10</t>
  </si>
  <si>
    <t>Office Expense Simple or Complex</t>
  </si>
  <si>
    <t>Hotel Revenue Simple or Complex - Market</t>
  </si>
  <si>
    <t>Single Key Count</t>
  </si>
  <si>
    <t>Double Key Count</t>
  </si>
  <si>
    <t>Suites Key Count</t>
  </si>
  <si>
    <t>Total Key Count</t>
  </si>
  <si>
    <t>Single Key Size</t>
  </si>
  <si>
    <t>Double Key Size</t>
  </si>
  <si>
    <t>Suites Key Size</t>
  </si>
  <si>
    <t>Total Key Size</t>
  </si>
  <si>
    <t>Single ADR</t>
  </si>
  <si>
    <t>Double ADR</t>
  </si>
  <si>
    <t>Suites ADR</t>
  </si>
  <si>
    <t>Total ADR</t>
  </si>
  <si>
    <t>Daily Food &amp; Beverage</t>
  </si>
  <si>
    <t>Other Departmental Revenue</t>
  </si>
  <si>
    <t>Miscellaneous Revenue</t>
  </si>
  <si>
    <t>Revenue Escalations</t>
  </si>
  <si>
    <t>Hotel Expense Simple or Complex - Market</t>
  </si>
  <si>
    <t>Departmental Expenses - Rooms</t>
  </si>
  <si>
    <t>Departmental Expenses - Food &amp; Beverage</t>
  </si>
  <si>
    <t>Departmental Expenses - Miscellaneous Departmental Expense</t>
  </si>
  <si>
    <t>Total Departmental Expenses</t>
  </si>
  <si>
    <t>Departmental Expense Ratio Without Real Estate Taxes</t>
  </si>
  <si>
    <t>Undistributed Expenses - Payroll &amp; Benefits</t>
  </si>
  <si>
    <t>Undistributed Expenses - Administrative</t>
  </si>
  <si>
    <t>Undistributed Expenses - Information Technology</t>
  </si>
  <si>
    <t>Undistributed Expenses - Marketing</t>
  </si>
  <si>
    <t>Undistributed Expenses - Utilities</t>
  </si>
  <si>
    <t>Undistributed Expenses - Repairs &amp; Maintenance</t>
  </si>
  <si>
    <t>Undistributed Expenses - Miscellaneous Undistributed Expense</t>
  </si>
  <si>
    <t>Total Undistributed Expenses</t>
  </si>
  <si>
    <t>Undistributed Expense Ratio Without Real Estate Taxes</t>
  </si>
  <si>
    <t>Fixed Expenses - Insurance</t>
  </si>
  <si>
    <t>Fixed Expenses - Miscellaneous Fixed Expense</t>
  </si>
  <si>
    <t>Total Fixed Expenses</t>
  </si>
  <si>
    <t>Fixed Expense Ratio Without Real Estate Taxes</t>
  </si>
  <si>
    <t>Occupancy On Open</t>
  </si>
  <si>
    <t>Occupancy On Stabilization</t>
  </si>
  <si>
    <t>Time To Reach Stabilization</t>
  </si>
  <si>
    <t>Lobby &amp; Amenities Attributed To Use</t>
  </si>
  <si>
    <t>Circulation Loss</t>
  </si>
  <si>
    <t>Building Core Loss</t>
  </si>
  <si>
    <t>Mechanical Loss</t>
  </si>
  <si>
    <t>Industrial tenant 1</t>
  </si>
  <si>
    <t>Industrial tenant 2</t>
  </si>
  <si>
    <t>Industrial tenant 3</t>
  </si>
  <si>
    <t>Industrial tenant 4</t>
  </si>
  <si>
    <t>Industrial tenant 5</t>
  </si>
  <si>
    <t>Industrial tenant 6</t>
  </si>
  <si>
    <t>Industrial tenant 7</t>
  </si>
  <si>
    <t>Industrial tenant 8</t>
  </si>
  <si>
    <t>Industrial tenant 9</t>
  </si>
  <si>
    <t>Industrial tenant 10</t>
  </si>
  <si>
    <t>Industrial type 1</t>
  </si>
  <si>
    <t>Industrial type 2</t>
  </si>
  <si>
    <t>Industrial type 3</t>
  </si>
  <si>
    <t>Industrial type 4</t>
  </si>
  <si>
    <t>Industrial type 5</t>
  </si>
  <si>
    <t>Industrial type 6</t>
  </si>
  <si>
    <t>Industrial type 7</t>
  </si>
  <si>
    <t>Industrial type 8</t>
  </si>
  <si>
    <t>Industrial type 9</t>
  </si>
  <si>
    <t>Industrial type 10</t>
  </si>
  <si>
    <t>Industrial rentable area 1</t>
  </si>
  <si>
    <t>Industrial rentable area 2</t>
  </si>
  <si>
    <t>Industrial rentable area 3</t>
  </si>
  <si>
    <t>Industrial rentable area 4</t>
  </si>
  <si>
    <t>Industrial rentable area 5</t>
  </si>
  <si>
    <t>Industrial rentable area 6</t>
  </si>
  <si>
    <t>Industrial rentable area 7</t>
  </si>
  <si>
    <t>Industrial rentable area 8</t>
  </si>
  <si>
    <t>Industrial rentable area 9</t>
  </si>
  <si>
    <t>Industrial rentable area 10</t>
  </si>
  <si>
    <t>Industrial start date 1</t>
  </si>
  <si>
    <t>Industrial start date 2</t>
  </si>
  <si>
    <t>Industrial start date 3</t>
  </si>
  <si>
    <t>Industrial start date 4</t>
  </si>
  <si>
    <t>Industrial start date 5</t>
  </si>
  <si>
    <t>Industrial start date 6</t>
  </si>
  <si>
    <t>Industrial start date 7</t>
  </si>
  <si>
    <t>Industrial start date 8</t>
  </si>
  <si>
    <t>Industrial start date 9</t>
  </si>
  <si>
    <t>Industrial start date 10</t>
  </si>
  <si>
    <t>Industrial lease length 1</t>
  </si>
  <si>
    <t>Industrial lease length 2</t>
  </si>
  <si>
    <t>Industrial lease length 3</t>
  </si>
  <si>
    <t>Industrial lease length 4</t>
  </si>
  <si>
    <t>Industrial lease length 5</t>
  </si>
  <si>
    <t>Industrial lease length 6</t>
  </si>
  <si>
    <t>Industrial lease length 7</t>
  </si>
  <si>
    <t>Industrial lease length 8</t>
  </si>
  <si>
    <t>Industrial lease length 9</t>
  </si>
  <si>
    <t>Industrial lease length 10</t>
  </si>
  <si>
    <t>Industrial base rent 1</t>
  </si>
  <si>
    <t>Industrial base rent 2</t>
  </si>
  <si>
    <t>Industrial base rent 3</t>
  </si>
  <si>
    <t>Industrial base rent 4</t>
  </si>
  <si>
    <t>Industrial base rent 5</t>
  </si>
  <si>
    <t>Industrial base rent 6</t>
  </si>
  <si>
    <t>Industrial base rent 7</t>
  </si>
  <si>
    <t>Industrial base rent 8</t>
  </si>
  <si>
    <t>Industrial base rent 9</t>
  </si>
  <si>
    <t>Industrial base rent 10</t>
  </si>
  <si>
    <t>Industrial rent escalation 1</t>
  </si>
  <si>
    <t>Industrial rent escalation 2</t>
  </si>
  <si>
    <t>Industrial rent escalation 3</t>
  </si>
  <si>
    <t>Industrial rent escalation 4</t>
  </si>
  <si>
    <t>Industrial rent escalation 5</t>
  </si>
  <si>
    <t>Industrial rent escalation 6</t>
  </si>
  <si>
    <t>Industrial rent escalation 7</t>
  </si>
  <si>
    <t>Industrial rent escalation 8</t>
  </si>
  <si>
    <t>Industrial rent escalation 9</t>
  </si>
  <si>
    <t>Industrial rent escalation 10</t>
  </si>
  <si>
    <t>Industrial step 1</t>
  </si>
  <si>
    <t>Industrial step 2</t>
  </si>
  <si>
    <t>Industrial step 3</t>
  </si>
  <si>
    <t>Industrial step 4</t>
  </si>
  <si>
    <t>Industrial step 5</t>
  </si>
  <si>
    <t>Industrial step 6</t>
  </si>
  <si>
    <t>Industrial step 7</t>
  </si>
  <si>
    <t>Industrial step 8</t>
  </si>
  <si>
    <t>Industrial step 9</t>
  </si>
  <si>
    <t>Industrial step 10</t>
  </si>
  <si>
    <t>Industrial commissions 1</t>
  </si>
  <si>
    <t>Industrial commissions 2</t>
  </si>
  <si>
    <t>Industrial commissions 3</t>
  </si>
  <si>
    <t>Industrial commissions 4</t>
  </si>
  <si>
    <t>Industrial commissions 5</t>
  </si>
  <si>
    <t>Industrial commissions 6</t>
  </si>
  <si>
    <t>Industrial commissions 7</t>
  </si>
  <si>
    <t>Industrial commissions 8</t>
  </si>
  <si>
    <t>Industrial commissions 9</t>
  </si>
  <si>
    <t>Industrial commissions 10</t>
  </si>
  <si>
    <t>Industrial TI Allowance 1</t>
  </si>
  <si>
    <t>Industrial TI Allowance 2</t>
  </si>
  <si>
    <t>Industrial TI Allowance 3</t>
  </si>
  <si>
    <t>Industrial TI Allowance 4</t>
  </si>
  <si>
    <t>Industrial TI Allowance 5</t>
  </si>
  <si>
    <t>Industrial TI Allowance 6</t>
  </si>
  <si>
    <t>Industrial TI Allowance 7</t>
  </si>
  <si>
    <t>Industrial TI Allowance 8</t>
  </si>
  <si>
    <t>Industrial TI Allowance 9</t>
  </si>
  <si>
    <t>Industrial TI Allowance 10</t>
  </si>
  <si>
    <t>Industrial Free Rent 1</t>
  </si>
  <si>
    <t>Industrial Free Rent 2</t>
  </si>
  <si>
    <t>Industrial Free Rent 3</t>
  </si>
  <si>
    <t>Industrial Free Rent 4</t>
  </si>
  <si>
    <t>Industrial Free Rent 5</t>
  </si>
  <si>
    <t>Industrial Free Rent 6</t>
  </si>
  <si>
    <t>Industrial Free Rent 7</t>
  </si>
  <si>
    <t>Industrial Free Rent 8</t>
  </si>
  <si>
    <t>Industrial Free Rent 9</t>
  </si>
  <si>
    <t>Industrial Free Rent 10</t>
  </si>
  <si>
    <t>Industrial Expense Simple or Complex</t>
  </si>
  <si>
    <t>Apartments - Stall Count</t>
  </si>
  <si>
    <t>Office - Stall Count</t>
  </si>
  <si>
    <t>Retail - Stall Count</t>
  </si>
  <si>
    <t>Hotel - Stall Count</t>
  </si>
  <si>
    <t>Industrial - Stall Count</t>
  </si>
  <si>
    <t>Public Parking - Stall Count</t>
  </si>
  <si>
    <t>Apartments - Revenue</t>
  </si>
  <si>
    <t>Office - Revenue</t>
  </si>
  <si>
    <t>Retail - Revenue</t>
  </si>
  <si>
    <t>Hotel - Revenue</t>
  </si>
  <si>
    <t>Industrial - Revenue</t>
  </si>
  <si>
    <t>Apartments - Escalation</t>
  </si>
  <si>
    <t>Office - Escalation</t>
  </si>
  <si>
    <t>Retail - Escalation</t>
  </si>
  <si>
    <t>Hotel - Escalation</t>
  </si>
  <si>
    <t>Industrial - Escalation</t>
  </si>
  <si>
    <t>Public Parking - Escalation</t>
  </si>
  <si>
    <t>Percentage of Public Stalls</t>
  </si>
  <si>
    <t>Stall Revenue</t>
  </si>
  <si>
    <t>Stall Turnover</t>
  </si>
  <si>
    <t>Utilization on Open</t>
  </si>
  <si>
    <t>Stabilized Utilitzation</t>
  </si>
  <si>
    <t>Monthly Parking Pass Revenue</t>
  </si>
  <si>
    <t>Pre-leased Non Transient Stalls</t>
  </si>
  <si>
    <t>Time To Reach Full Occupancy</t>
  </si>
  <si>
    <t>Average Rentable Stall Size</t>
  </si>
  <si>
    <t>Circulation &amp; Loss</t>
  </si>
  <si>
    <t>Tenant Count</t>
  </si>
  <si>
    <t>Average Space Size</t>
  </si>
  <si>
    <t>Contract Term</t>
  </si>
  <si>
    <t>Annual Rental Rate</t>
  </si>
  <si>
    <t>Average Rent Escalation</t>
  </si>
  <si>
    <t>Free Rent Concession</t>
  </si>
  <si>
    <t>TI Allowance</t>
  </si>
  <si>
    <t>Commissions</t>
  </si>
  <si>
    <t>Vacancy Loss</t>
  </si>
  <si>
    <t>Credit Loss</t>
  </si>
  <si>
    <t>Pre-leased Percentage</t>
  </si>
  <si>
    <t>Absorption</t>
  </si>
  <si>
    <t>Absorption Frequency</t>
  </si>
  <si>
    <t>Free Rent</t>
  </si>
  <si>
    <t>Developer Input Form Instructions</t>
  </si>
  <si>
    <r>
      <t xml:space="preserve">Applicants MUST complete the </t>
    </r>
    <r>
      <rPr>
        <b/>
        <i/>
        <sz val="12"/>
        <color theme="1"/>
        <rFont val="Calibri"/>
        <family val="2"/>
        <scheme val="minor"/>
      </rPr>
      <t xml:space="preserve">Development Assumptions, Development Costs, Capital Stack &amp; Incentives </t>
    </r>
    <r>
      <rPr>
        <b/>
        <sz val="12"/>
        <color theme="1"/>
        <rFont val="Calibri"/>
        <family val="2"/>
        <scheme val="minor"/>
      </rPr>
      <t xml:space="preserve">tabs, and </t>
    </r>
    <r>
      <rPr>
        <b/>
        <u/>
        <sz val="12"/>
        <color theme="1"/>
        <rFont val="Calibri"/>
        <family val="2"/>
        <scheme val="minor"/>
      </rPr>
      <t>all</t>
    </r>
    <r>
      <rPr>
        <b/>
        <sz val="12"/>
        <color theme="1"/>
        <rFont val="Calibri"/>
        <family val="2"/>
        <scheme val="minor"/>
      </rPr>
      <t xml:space="preserve"> project use assumptions tabs, as applicable: </t>
    </r>
    <r>
      <rPr>
        <b/>
        <i/>
        <sz val="12"/>
        <color theme="1"/>
        <rFont val="Calibri"/>
        <family val="2"/>
        <scheme val="minor"/>
      </rPr>
      <t>Residential, Retail, Office, Hotel, Industrial</t>
    </r>
    <r>
      <rPr>
        <b/>
        <sz val="12"/>
        <color theme="1"/>
        <rFont val="Calibri"/>
        <family val="2"/>
        <scheme val="minor"/>
      </rPr>
      <t xml:space="preserve"> and </t>
    </r>
    <r>
      <rPr>
        <b/>
        <i/>
        <sz val="12"/>
        <color theme="1"/>
        <rFont val="Calibri"/>
        <family val="2"/>
        <scheme val="minor"/>
      </rPr>
      <t>Parking</t>
    </r>
    <r>
      <rPr>
        <b/>
        <sz val="12"/>
        <color theme="1"/>
        <rFont val="Calibri"/>
        <family val="2"/>
        <scheme val="minor"/>
      </rPr>
      <t>.</t>
    </r>
  </si>
  <si>
    <r>
      <t xml:space="preserve">All LIGHT BLUE cells in the following sheets are </t>
    </r>
    <r>
      <rPr>
        <b/>
        <sz val="12"/>
        <color theme="1"/>
        <rFont val="Calibri"/>
        <family val="2"/>
        <scheme val="minor"/>
      </rPr>
      <t>REQUIRED</t>
    </r>
    <r>
      <rPr>
        <sz val="12"/>
        <color theme="1"/>
        <rFont val="Calibri"/>
        <family val="2"/>
        <scheme val="minor"/>
      </rPr>
      <t>.</t>
    </r>
  </si>
  <si>
    <r>
      <t xml:space="preserve">All LIGHT GREY cells in the following sheets are </t>
    </r>
    <r>
      <rPr>
        <i/>
        <sz val="12"/>
        <color theme="1"/>
        <rFont val="Calibri"/>
        <family val="2"/>
        <scheme val="minor"/>
      </rPr>
      <t>OPTIONAL.</t>
    </r>
  </si>
  <si>
    <r>
      <t xml:space="preserve">All WHITE cells in the following sheets are </t>
    </r>
    <r>
      <rPr>
        <u/>
        <sz val="12"/>
        <color theme="1"/>
        <rFont val="Calibri"/>
        <family val="2"/>
        <scheme val="minor"/>
      </rPr>
      <t>LOCKED</t>
    </r>
    <r>
      <rPr>
        <sz val="12"/>
        <color theme="1"/>
        <rFont val="Calibri"/>
        <family val="2"/>
        <scheme val="minor"/>
      </rPr>
      <t>. Manual data entry is restricted in these cells.</t>
    </r>
  </si>
  <si>
    <t>Development Assumptions</t>
  </si>
  <si>
    <t>Development Costs</t>
  </si>
  <si>
    <t>Capital Stack &amp; Incentives</t>
  </si>
  <si>
    <r>
      <rPr>
        <b/>
        <sz val="12"/>
        <color theme="1"/>
        <rFont val="Calibri"/>
        <family val="2"/>
        <scheme val="minor"/>
      </rPr>
      <t>Project Uses</t>
    </r>
    <r>
      <rPr>
        <u/>
        <sz val="11"/>
        <color theme="1"/>
        <rFont val="Calibri"/>
        <family val="2"/>
        <scheme val="minor"/>
      </rPr>
      <t xml:space="preserve">
</t>
    </r>
    <r>
      <rPr>
        <sz val="11"/>
        <color theme="1"/>
        <rFont val="Calibri"/>
        <family val="2"/>
        <scheme val="minor"/>
      </rPr>
      <t>Identify ALL use(s) associated with the project. This data should match the data in the application.</t>
    </r>
    <r>
      <rPr>
        <i/>
        <sz val="11"/>
        <color theme="1"/>
        <rFont val="Calibri"/>
        <family val="2"/>
        <scheme val="minor"/>
      </rPr>
      <t xml:space="preserve">
</t>
    </r>
    <r>
      <rPr>
        <b/>
        <sz val="12"/>
        <color theme="1"/>
        <rFont val="Calibri"/>
        <family val="2"/>
        <scheme val="minor"/>
      </rPr>
      <t>Project 14-digit PIN(s)</t>
    </r>
    <r>
      <rPr>
        <i/>
        <sz val="11"/>
        <color theme="1"/>
        <rFont val="Calibri"/>
        <family val="2"/>
        <scheme val="minor"/>
      </rPr>
      <t xml:space="preserve">
</t>
    </r>
    <r>
      <rPr>
        <sz val="11"/>
        <color theme="1"/>
        <rFont val="Calibri"/>
        <family val="2"/>
        <scheme val="minor"/>
      </rPr>
      <t xml:space="preserve">Enter all Property Identification Numbers (PINs) associated with the parcels that comprise the project site. This data should match the data in the application.
</t>
    </r>
    <r>
      <rPr>
        <i/>
        <sz val="11"/>
        <color theme="1"/>
        <rFont val="Calibri"/>
        <family val="2"/>
        <scheme val="minor"/>
      </rPr>
      <t xml:space="preserve">
</t>
    </r>
    <r>
      <rPr>
        <b/>
        <sz val="12"/>
        <color theme="1"/>
        <rFont val="Calibri"/>
        <family val="2"/>
        <scheme val="minor"/>
      </rPr>
      <t>Project Characteristics</t>
    </r>
    <r>
      <rPr>
        <i/>
        <sz val="11"/>
        <color theme="1"/>
        <rFont val="Calibri"/>
        <family val="2"/>
        <scheme val="minor"/>
      </rPr>
      <t xml:space="preserve">
</t>
    </r>
    <r>
      <rPr>
        <sz val="11"/>
        <color theme="1"/>
        <rFont val="Calibri"/>
        <family val="2"/>
        <scheme val="minor"/>
      </rPr>
      <t>Enter the total area (SF) of land (property) on which the project is located. If available, enter the total floor area, building footprint and number of building stories. This data should match the data in the application.</t>
    </r>
    <r>
      <rPr>
        <i/>
        <sz val="11"/>
        <color theme="1"/>
        <rFont val="Calibri"/>
        <family val="2"/>
        <scheme val="minor"/>
      </rPr>
      <t xml:space="preserve">  
</t>
    </r>
    <r>
      <rPr>
        <b/>
        <sz val="12"/>
        <color theme="1"/>
        <rFont val="Calibri"/>
        <family val="2"/>
        <scheme val="minor"/>
      </rPr>
      <t>Construction Characteristics</t>
    </r>
    <r>
      <rPr>
        <i/>
        <sz val="11"/>
        <color theme="1"/>
        <rFont val="Calibri"/>
        <family val="2"/>
        <scheme val="minor"/>
      </rPr>
      <t xml:space="preserve">
</t>
    </r>
    <r>
      <rPr>
        <sz val="11"/>
        <color theme="1"/>
        <rFont val="Calibri"/>
        <family val="2"/>
        <scheme val="minor"/>
      </rPr>
      <t>If available, select the building type, exterior construction material and building frame material.</t>
    </r>
    <r>
      <rPr>
        <i/>
        <sz val="11"/>
        <color theme="1"/>
        <rFont val="Calibri"/>
        <family val="2"/>
        <scheme val="minor"/>
      </rPr>
      <t xml:space="preserve">
</t>
    </r>
    <r>
      <rPr>
        <u/>
        <sz val="11"/>
        <color theme="1"/>
        <rFont val="Calibri"/>
        <family val="2"/>
        <scheme val="minor"/>
      </rPr>
      <t xml:space="preserve">
</t>
    </r>
    <r>
      <rPr>
        <b/>
        <sz val="12"/>
        <color theme="1"/>
        <rFont val="Calibri"/>
        <family val="2"/>
        <scheme val="minor"/>
      </rPr>
      <t>Property Tax Incentive (if applicable)</t>
    </r>
  </si>
  <si>
    <r>
      <rPr>
        <b/>
        <sz val="12"/>
        <color theme="1"/>
        <rFont val="Calibri"/>
        <family val="2"/>
        <scheme val="minor"/>
      </rPr>
      <t xml:space="preserve">Single-Use Projects: Rehabilitation and/or New Construction
</t>
    </r>
    <r>
      <rPr>
        <sz val="11"/>
        <color theme="1"/>
        <rFont val="Calibri"/>
        <family val="2"/>
        <scheme val="minor"/>
      </rPr>
      <t xml:space="preserve">Insert all applicable project construction costs in columns H or I, per building type (rehabilitation/new construction). Specify the project use in the row 2 drop-down.
</t>
    </r>
    <r>
      <rPr>
        <b/>
        <sz val="12"/>
        <color theme="1"/>
        <rFont val="Calibri"/>
        <family val="2"/>
        <scheme val="minor"/>
      </rPr>
      <t xml:space="preserve">Mixed-Use Projects: Rehabilitation and/or New Construction
</t>
    </r>
    <r>
      <rPr>
        <sz val="11"/>
        <color theme="1"/>
        <rFont val="Calibri"/>
        <family val="2"/>
        <scheme val="minor"/>
      </rPr>
      <t xml:space="preserve">Separate all applicable project construction costs by use, per building type (rehabilitation/new construction), in columns  H, I, K, L, N, O, Q and R, as needed. Specify the project uses in the row 2 drop-downs.
</t>
    </r>
    <r>
      <rPr>
        <b/>
        <sz val="12"/>
        <color theme="1"/>
        <rFont val="Calibri"/>
        <family val="2"/>
        <scheme val="minor"/>
      </rPr>
      <t xml:space="preserve">ALL PROJECTS: </t>
    </r>
    <r>
      <rPr>
        <sz val="11"/>
        <color theme="1"/>
        <rFont val="Calibri"/>
        <family val="2"/>
        <scheme val="minor"/>
      </rPr>
      <t xml:space="preserve">Insert the anticipated start date (column D) and total duration (column F) of the work task associated with each cost, as applicable.
</t>
    </r>
    <r>
      <rPr>
        <b/>
        <sz val="12"/>
        <color theme="1"/>
        <rFont val="Calibri"/>
        <family val="2"/>
        <scheme val="minor"/>
      </rPr>
      <t>Acquisition Costs (C5-C8; D5):</t>
    </r>
    <r>
      <rPr>
        <sz val="11"/>
        <color theme="1"/>
        <rFont val="Calibri"/>
        <family val="2"/>
        <scheme val="minor"/>
      </rPr>
      <t xml:space="preserve"> Costs associated with acquiring the land, real estate or real property for the project.
</t>
    </r>
    <r>
      <rPr>
        <b/>
        <sz val="12"/>
        <color theme="1"/>
        <rFont val="Calibri"/>
        <family val="2"/>
        <scheme val="minor"/>
      </rPr>
      <t>Site Prep Costs (Rows 14-15)</t>
    </r>
    <r>
      <rPr>
        <sz val="11"/>
        <color theme="1"/>
        <rFont val="Calibri"/>
        <family val="2"/>
        <scheme val="minor"/>
      </rPr>
      <t>: Costs associated with preparing the project site for construction.</t>
    </r>
  </si>
  <si>
    <r>
      <rPr>
        <b/>
        <sz val="12"/>
        <color theme="1"/>
        <rFont val="Calibri"/>
        <family val="2"/>
        <scheme val="minor"/>
      </rPr>
      <t>Incentive Request</t>
    </r>
    <r>
      <rPr>
        <sz val="11"/>
        <color theme="1"/>
        <rFont val="Calibri"/>
        <family val="2"/>
        <scheme val="minor"/>
      </rPr>
      <t xml:space="preserve">
Insert the total incentive amount being requested by the applicant.
</t>
    </r>
    <r>
      <rPr>
        <b/>
        <sz val="12"/>
        <color theme="1"/>
        <rFont val="Calibri"/>
        <family val="2"/>
        <scheme val="minor"/>
      </rPr>
      <t>Total Debt</t>
    </r>
    <r>
      <rPr>
        <sz val="11"/>
        <color theme="1"/>
        <rFont val="Calibri"/>
        <family val="2"/>
        <scheme val="minor"/>
      </rPr>
      <t xml:space="preserve">
Insert information for all debt (loans) being used to finance the project construction.
</t>
    </r>
    <r>
      <rPr>
        <i/>
        <sz val="11"/>
        <color theme="1"/>
        <rFont val="Calibri"/>
        <family val="2"/>
        <scheme val="minor"/>
      </rPr>
      <t xml:space="preserve">Senior Loan: A secured bank loan that is not subordinated by its terms to any other indebtedness of the borrower.
Bridge Loan: Interim financing for an individual or business until permanent financing is secured, or until the next stage of financing is obtained.
</t>
    </r>
    <r>
      <rPr>
        <sz val="11"/>
        <color theme="1"/>
        <rFont val="Calibri"/>
        <family val="2"/>
        <scheme val="minor"/>
      </rPr>
      <t xml:space="preserve">
</t>
    </r>
    <r>
      <rPr>
        <b/>
        <sz val="12"/>
        <color theme="1"/>
        <rFont val="Calibri"/>
        <family val="2"/>
        <scheme val="minor"/>
      </rPr>
      <t>Total Equity</t>
    </r>
    <r>
      <rPr>
        <sz val="11"/>
        <color theme="1"/>
        <rFont val="Calibri"/>
        <family val="2"/>
        <scheme val="minor"/>
      </rPr>
      <t xml:space="preserve">
Insert information for all owner’s equity (the value of the owner’s business assets or the amount the owner has invested in the business) being used to finance the project.
</t>
    </r>
    <r>
      <rPr>
        <b/>
        <sz val="12"/>
        <color theme="1"/>
        <rFont val="Calibri"/>
        <family val="2"/>
        <scheme val="minor"/>
      </rPr>
      <t>Total Additional Subsidies</t>
    </r>
    <r>
      <rPr>
        <sz val="11"/>
        <color theme="1"/>
        <rFont val="Calibri"/>
        <family val="2"/>
        <scheme val="minor"/>
      </rPr>
      <t xml:space="preserve">
Insert information for all additional subsidies (not including the incentive request), such as federal or state assistance or grants, being used to finance the project construction.</t>
    </r>
  </si>
  <si>
    <r>
      <rPr>
        <u/>
        <sz val="11"/>
        <color theme="1"/>
        <rFont val="Calibri"/>
        <family val="2"/>
        <scheme val="minor"/>
      </rPr>
      <t xml:space="preserve">
Incentive Class/Project Type</t>
    </r>
    <r>
      <rPr>
        <sz val="11"/>
        <color theme="1"/>
        <rFont val="Calibri"/>
        <family val="2"/>
        <scheme val="minor"/>
      </rPr>
      <t xml:space="preserve">
If applying for a Property Tax incentive, select the Property Tax Incentive Class and type of project.  This data should match the data in the application.
</t>
    </r>
    <r>
      <rPr>
        <u/>
        <sz val="11"/>
        <color theme="1"/>
        <rFont val="Calibri"/>
        <family val="2"/>
        <scheme val="minor"/>
      </rPr>
      <t xml:space="preserve">Assessment Estimate Assumptions
</t>
    </r>
    <r>
      <rPr>
        <sz val="11"/>
        <color theme="1"/>
        <rFont val="Calibri"/>
        <family val="2"/>
        <scheme val="minor"/>
      </rPr>
      <t xml:space="preserve">Insert the estimated assessed value of the project at completion, and the annual assessed appreciation post project completion.
</t>
    </r>
    <r>
      <rPr>
        <u/>
        <sz val="11"/>
        <color theme="1"/>
        <rFont val="Calibri"/>
        <family val="2"/>
        <scheme val="minor"/>
      </rPr>
      <t xml:space="preserve">Property Tax Allocation By Use
</t>
    </r>
    <r>
      <rPr>
        <sz val="11"/>
        <color theme="1"/>
        <rFont val="Calibri"/>
        <family val="2"/>
        <scheme val="minor"/>
      </rPr>
      <t>If the project includes more than one use, allocate the taxes per use as a percentage of the estimated, total property taxes.</t>
    </r>
  </si>
  <si>
    <r>
      <rPr>
        <b/>
        <sz val="12"/>
        <color theme="1"/>
        <rFont val="Calibri"/>
        <family val="2"/>
        <scheme val="minor"/>
      </rPr>
      <t xml:space="preserve">Hard Costs (Rows 19-53): </t>
    </r>
    <r>
      <rPr>
        <sz val="11"/>
        <color theme="1"/>
        <rFont val="Calibri"/>
        <family val="2"/>
        <scheme val="minor"/>
      </rPr>
      <t>Costs associated with labor and materials for construction. Projects without detailed hard costs should include a total hard cost amount in G19.</t>
    </r>
    <r>
      <rPr>
        <b/>
        <sz val="12"/>
        <color theme="1"/>
        <rFont val="Calibri"/>
        <family val="2"/>
        <scheme val="minor"/>
      </rPr>
      <t xml:space="preserve">
Soft Costs (Rows 60-86): </t>
    </r>
    <r>
      <rPr>
        <sz val="11"/>
        <color theme="1"/>
        <rFont val="Calibri"/>
        <family val="2"/>
        <scheme val="minor"/>
      </rPr>
      <t>Costs indirectly associated with construction, such as project planning and design. Projects without detailed soft costs should include a total soft cost amount in G60</t>
    </r>
    <r>
      <rPr>
        <i/>
        <sz val="11"/>
        <color theme="1"/>
        <rFont val="Calibri"/>
        <family val="2"/>
        <scheme val="minor"/>
      </rPr>
      <t>.</t>
    </r>
  </si>
  <si>
    <r>
      <t xml:space="preserve">
</t>
    </r>
    <r>
      <rPr>
        <b/>
        <sz val="12"/>
        <color theme="1"/>
        <rFont val="Calibri"/>
        <family val="2"/>
        <scheme val="minor"/>
      </rPr>
      <t>Permanent Structure</t>
    </r>
    <r>
      <rPr>
        <sz val="12"/>
        <color theme="1"/>
        <rFont val="Calibri"/>
        <family val="2"/>
        <scheme val="minor"/>
      </rPr>
      <t xml:space="preserve">
E</t>
    </r>
    <r>
      <rPr>
        <sz val="11"/>
        <color theme="1"/>
        <rFont val="Calibri"/>
        <family val="2"/>
        <scheme val="minor"/>
      </rPr>
      <t>nter the information for the long-term loan that will replace the construction debt after project completion.</t>
    </r>
  </si>
  <si>
    <t>Baseline Assumption</t>
  </si>
  <si>
    <t>Additional Detail Assumption</t>
  </si>
  <si>
    <t>1.) Project Uses</t>
  </si>
  <si>
    <t xml:space="preserve">Residential </t>
  </si>
  <si>
    <t>1a)</t>
  </si>
  <si>
    <t>No</t>
  </si>
  <si>
    <t>1b)</t>
  </si>
  <si>
    <t>1c)</t>
  </si>
  <si>
    <t xml:space="preserve">Hotel </t>
  </si>
  <si>
    <t>1d)</t>
  </si>
  <si>
    <t xml:space="preserve">Industrial </t>
  </si>
  <si>
    <t>1e)</t>
  </si>
  <si>
    <t xml:space="preserve">Parking </t>
  </si>
  <si>
    <t>1f)</t>
  </si>
  <si>
    <t>2.) Project 14-digit PIN(s)</t>
  </si>
  <si>
    <t>2a)</t>
  </si>
  <si>
    <t>2b)</t>
  </si>
  <si>
    <t>2c)</t>
  </si>
  <si>
    <t>2d)</t>
  </si>
  <si>
    <t>2e)</t>
  </si>
  <si>
    <t>2f)</t>
  </si>
  <si>
    <t>2g)</t>
  </si>
  <si>
    <t>2h)</t>
  </si>
  <si>
    <t>2i)</t>
  </si>
  <si>
    <t>2j)</t>
  </si>
  <si>
    <t xml:space="preserve">3.) Project Characteristics </t>
  </si>
  <si>
    <t>3a)</t>
  </si>
  <si>
    <t>3b)</t>
  </si>
  <si>
    <t>3c)</t>
  </si>
  <si>
    <t>3d)</t>
  </si>
  <si>
    <t>3e)</t>
  </si>
  <si>
    <t>3f)</t>
  </si>
  <si>
    <t xml:space="preserve">4.) Construction Characteristics </t>
  </si>
  <si>
    <t>4a)</t>
  </si>
  <si>
    <t>Renovation</t>
  </si>
  <si>
    <t>4b)</t>
  </si>
  <si>
    <t>Precast Concrete</t>
  </si>
  <si>
    <t>4c)</t>
  </si>
  <si>
    <t>Wood Frame</t>
  </si>
  <si>
    <t>5.) Property Tax Incentives</t>
  </si>
  <si>
    <r>
      <t xml:space="preserve">Incentive Class Type </t>
    </r>
    <r>
      <rPr>
        <sz val="8"/>
        <color theme="1"/>
        <rFont val="Calibri"/>
        <family val="2"/>
        <scheme val="minor"/>
      </rPr>
      <t>(if applicable)</t>
    </r>
  </si>
  <si>
    <t>5a)</t>
  </si>
  <si>
    <t>None</t>
  </si>
  <si>
    <t>5b)</t>
  </si>
  <si>
    <t>Abandoned Property / Rehabilitation</t>
  </si>
  <si>
    <t>Assessment Estimate Assumptions</t>
  </si>
  <si>
    <t>5c)</t>
  </si>
  <si>
    <t>$</t>
  </si>
  <si>
    <t>Assessed Appreciation</t>
  </si>
  <si>
    <t>5d)</t>
  </si>
  <si>
    <t>% per year</t>
  </si>
  <si>
    <t>Property Tax Allocation by Use</t>
  </si>
  <si>
    <t>Residential</t>
  </si>
  <si>
    <t>5e)</t>
  </si>
  <si>
    <t>5f)</t>
  </si>
  <si>
    <t>5g)</t>
  </si>
  <si>
    <t>5h)</t>
  </si>
  <si>
    <t>5i)</t>
  </si>
  <si>
    <t>Parking</t>
  </si>
  <si>
    <t>5j)</t>
  </si>
  <si>
    <t>Total</t>
  </si>
  <si>
    <t>Development Cost Assumptions</t>
  </si>
  <si>
    <t>[USE 1]</t>
  </si>
  <si>
    <t>[USE 2]</t>
  </si>
  <si>
    <t>[USE 3]</t>
  </si>
  <si>
    <t>[USE 4]</t>
  </si>
  <si>
    <t>ACQUISITION COSTS</t>
  </si>
  <si>
    <t xml:space="preserve">Amount </t>
  </si>
  <si>
    <t xml:space="preserve">Acquisition Date </t>
  </si>
  <si>
    <t>1.0 Property Acquisition</t>
  </si>
  <si>
    <t>mm/dd/yyyy</t>
  </si>
  <si>
    <t xml:space="preserve">2.0 Legal &amp; Professional Services </t>
  </si>
  <si>
    <t xml:space="preserve">3.0 Closing Costs </t>
  </si>
  <si>
    <t xml:space="preserve">4.0 Other Related Costs </t>
  </si>
  <si>
    <t xml:space="preserve">Total Acquisition Costs </t>
  </si>
  <si>
    <t>SITE PREPARATION COSTS</t>
  </si>
  <si>
    <t>START DATE
(mm/dd/yyyy)</t>
  </si>
  <si>
    <t>DURATION (xx months)</t>
  </si>
  <si>
    <t xml:space="preserve">Total </t>
  </si>
  <si>
    <t>New Construction</t>
  </si>
  <si>
    <t>Rehabilitation</t>
  </si>
  <si>
    <t>G Building Sitework (Part 1)</t>
  </si>
  <si>
    <t># months</t>
  </si>
  <si>
    <t>G10 Site Preparation: Site Clearing; Demolition &amp; Relocations; Earthwork</t>
  </si>
  <si>
    <t>G10 Site Preparation: Hazardous Waste Remediation</t>
  </si>
  <si>
    <t>HARD COSTS</t>
  </si>
  <si>
    <t>A Substructure</t>
  </si>
  <si>
    <t>A10 Foundations</t>
  </si>
  <si>
    <t>A20 Basement Construction</t>
  </si>
  <si>
    <t>B Shell</t>
  </si>
  <si>
    <t xml:space="preserve">B10 Superstructure (e.g. floor, roof construction) </t>
  </si>
  <si>
    <t>B20 Exterior Enclosure (e.g. exterior walls, windows, doors)</t>
  </si>
  <si>
    <t>B30 Roofing</t>
  </si>
  <si>
    <t>C Interiors</t>
  </si>
  <si>
    <t>C10 Interior Construction (e.g. partitions, interior doors, fittings)</t>
  </si>
  <si>
    <t>C20 Stairs (e.g. construction and finishes)</t>
  </si>
  <si>
    <t>C30 Interior Finishes (e.g. wall, floor, ceiling)</t>
  </si>
  <si>
    <t>D Services</t>
  </si>
  <si>
    <t>D10 Conveying (e.g. elevators, lifts, escalators, moving walks)</t>
  </si>
  <si>
    <t>D20 Plumbing (e.g. domestic water distribution, sanitary waste, rain water drainage)</t>
  </si>
  <si>
    <t>D30 HVAC (e.g. energy supply; heat, cooling, distribution systems)</t>
  </si>
  <si>
    <t>D40 Fire Protection (e.g. sprinklers, standpipes)</t>
  </si>
  <si>
    <t>D50 Electrical (e.g. service and distribution, lighting and wiring, communications and security)</t>
  </si>
  <si>
    <t>E Equipment, Furnishings &amp; Fixtures</t>
  </si>
  <si>
    <t>E10 Equipment (e.g. commercial, institutional, vehicular)</t>
  </si>
  <si>
    <t>E20 Furnishings (e.g. fixed and movable furniture/furnishings)</t>
  </si>
  <si>
    <t>E30 Fixtures (e.g. lighting, plumbing)</t>
  </si>
  <si>
    <t>F Special Construction &amp; Demolition</t>
  </si>
  <si>
    <t>F10 Special Construction (e.g. special structures, facilities, construction systems, controls)</t>
  </si>
  <si>
    <t>F20 Selective Building Demolition (e.g. building elements, hazardous components abatement)</t>
  </si>
  <si>
    <t>G Building Sitework (Part 2)</t>
  </si>
  <si>
    <t>G20  Site Improvements (e.g. roadways, sidewalks, landscaping, site development)</t>
  </si>
  <si>
    <t>G30 Site Mechanical Utilities (e.g. water supply; sanitary and storm sewers; heating, cooling and fuel distribution)</t>
  </si>
  <si>
    <t>G40 Site Electrical Utilities (e.g. electrical distribution, site lighting, site communications and security)</t>
  </si>
  <si>
    <t>Total Hard Costs</t>
  </si>
  <si>
    <t>SOFT COSTS</t>
  </si>
  <si>
    <t xml:space="preserve">1.0 Professional Services </t>
  </si>
  <si>
    <t>1.1 Architecture, Engineering and Design (e.g. feasibility studies, master planning, design work)</t>
  </si>
  <si>
    <t>1.2 Land &amp; Real Estate (e.g. legal fees, appraisals, assessments, real estate research, surveying)</t>
  </si>
  <si>
    <t>1.3 Financing &amp; Accounting (e.g. financing, bank transaction, mortgage, construction loan commitment fees; loan-generated interest; accounting expenses)</t>
  </si>
  <si>
    <t>1.4 Advertising &amp; Public Relations (e.g. marketing and advertising costs, public relations)</t>
  </si>
  <si>
    <t>1.5 Additional Work &amp; Studies (e.g. cost estimates; surveys; traffic, Geotech and environmental studies; testing, health and safety consultants)</t>
  </si>
  <si>
    <t xml:space="preserve">2.0 Construction Management </t>
  </si>
  <si>
    <t>2.1 Project Management  (e.g. administrative, security and safety expenses)</t>
  </si>
  <si>
    <t>2.2 Construction Insurance and Professional Dues (e.g. insurance expense, bond fees and dues)</t>
  </si>
  <si>
    <t>2.3 Local &amp; State Taxes</t>
  </si>
  <si>
    <t>3.0 Permits &amp; Titles (e.g. building inspection, permit application, permit filing, occupancy permits)</t>
  </si>
  <si>
    <t xml:space="preserve">4.0 Construction Equipment, Rentals &amp; Tools </t>
  </si>
  <si>
    <t xml:space="preserve">5.0 Developer Fee </t>
  </si>
  <si>
    <t>7.0 General Conditions &amp; Requirements</t>
  </si>
  <si>
    <t>7.1 General Conditions</t>
  </si>
  <si>
    <t>7.2 General Requirements</t>
  </si>
  <si>
    <t>8.0 Overhead &amp; Profit</t>
  </si>
  <si>
    <t>8.1 Overhead</t>
  </si>
  <si>
    <t>8.2 Profit</t>
  </si>
  <si>
    <t>Total Soft Costs</t>
  </si>
  <si>
    <t>Escalations</t>
  </si>
  <si>
    <t>Project Start Date</t>
  </si>
  <si>
    <t>Project End Date</t>
  </si>
  <si>
    <t xml:space="preserve">Total Construction Costs </t>
  </si>
  <si>
    <t>Capital Stack And Incentives</t>
  </si>
  <si>
    <t xml:space="preserve">Incentive </t>
  </si>
  <si>
    <t xml:space="preserve">Total Incentive Amount Requested </t>
  </si>
  <si>
    <t>Construction Capital Stack</t>
  </si>
  <si>
    <t>Total Debt (Loans)</t>
  </si>
  <si>
    <t>Amount</t>
  </si>
  <si>
    <t xml:space="preserve">Interest Rate </t>
  </si>
  <si>
    <t xml:space="preserve">Origination Date </t>
  </si>
  <si>
    <t xml:space="preserve">Loan Term </t>
  </si>
  <si>
    <t>Senior Loan 1</t>
  </si>
  <si>
    <t>%</t>
  </si>
  <si>
    <t>Senior Loan 2</t>
  </si>
  <si>
    <t>Senior Loan 3</t>
  </si>
  <si>
    <t>Senior Loan 4</t>
  </si>
  <si>
    <t>Senior Loan 5</t>
  </si>
  <si>
    <t>Bridge Loan 1</t>
  </si>
  <si>
    <t>Bridge Loan 2</t>
  </si>
  <si>
    <t>Bridge Loan 3</t>
  </si>
  <si>
    <t>Bridge Loan 4</t>
  </si>
  <si>
    <t>Bridge Loan 5</t>
  </si>
  <si>
    <t>Total Senior Loan</t>
  </si>
  <si>
    <t>Total Bridge Loan</t>
  </si>
  <si>
    <t>Total Equity (Owners Equity)</t>
  </si>
  <si>
    <t>Notes (if necessary)</t>
  </si>
  <si>
    <t>Total Equity</t>
  </si>
  <si>
    <t>Total Additional Subsidies</t>
  </si>
  <si>
    <t>Subsidy 1</t>
  </si>
  <si>
    <t>Subsidy 2</t>
  </si>
  <si>
    <t>Subsidy 3</t>
  </si>
  <si>
    <t>Subsidy 4</t>
  </si>
  <si>
    <t>Subsidy 5</t>
  </si>
  <si>
    <t>Subsidy 6</t>
  </si>
  <si>
    <t xml:space="preserve">Total Capital Stack </t>
  </si>
  <si>
    <t>Total Capital Stack and Incentives (Sources)</t>
  </si>
  <si>
    <t>Total Project Cost (Uses)</t>
  </si>
  <si>
    <t>Permanent Structure</t>
  </si>
  <si>
    <t xml:space="preserve">Total Debt </t>
  </si>
  <si>
    <t>Permanent Loan</t>
  </si>
  <si>
    <t>Residential Assumptions</t>
  </si>
  <si>
    <t>This section may be skipped if no apartments are envisioned on the site</t>
  </si>
  <si>
    <t>1.) Unit Count - If unit type breakdowns are unknown, at minimum please fill totals in part 1e and 1j</t>
  </si>
  <si>
    <t>Unit Type</t>
  </si>
  <si>
    <t>Market Rate</t>
  </si>
  <si>
    <t>Affordable Rate</t>
  </si>
  <si>
    <t>Studio</t>
  </si>
  <si>
    <t># units</t>
  </si>
  <si>
    <t>1 Bedroom</t>
  </si>
  <si>
    <t>1g)</t>
  </si>
  <si>
    <t>2 Bedroom</t>
  </si>
  <si>
    <t>1h)</t>
  </si>
  <si>
    <t>3 Bedroom</t>
  </si>
  <si>
    <t>1i)</t>
  </si>
  <si>
    <t>Total Unit Count</t>
  </si>
  <si>
    <t>1j)</t>
  </si>
  <si>
    <t>2.) Average Net Unit Size - If unit type breakdowns are unknown, at minimum please fill totals in part 2e and 2j</t>
  </si>
  <si>
    <t># sf per unit</t>
  </si>
  <si>
    <t>Total Average Net Unit Size</t>
  </si>
  <si>
    <t>3.) Monthly Rent Per sf - If unit type breakdowns are unknown, at minimum please fill totals in part 3e and 3j</t>
  </si>
  <si>
    <t>$ per sf per month</t>
  </si>
  <si>
    <t>3g)</t>
  </si>
  <si>
    <t>3h)</t>
  </si>
  <si>
    <t>3i)</t>
  </si>
  <si>
    <t xml:space="preserve">Total Average Monthly Rent per sf </t>
  </si>
  <si>
    <t>3j)</t>
  </si>
  <si>
    <t>4.) Other Income Per Month Per Unit</t>
  </si>
  <si>
    <t>Income Types</t>
  </si>
  <si>
    <t>Other Income</t>
  </si>
  <si>
    <t>$ per unit per month</t>
  </si>
  <si>
    <t>5.) Revenue Escalations Rate Per Year</t>
  </si>
  <si>
    <t>Esalations</t>
  </si>
  <si>
    <t>6.) Revenue Adjustments As A Percentage of Gross Potential Revenue (GPR)</t>
  </si>
  <si>
    <t>Adjustments</t>
  </si>
  <si>
    <t>Average Vacancy Rate</t>
  </si>
  <si>
    <t>6a)</t>
  </si>
  <si>
    <t>% of gpr</t>
  </si>
  <si>
    <t>6c)</t>
  </si>
  <si>
    <t>Average Credit Loss</t>
  </si>
  <si>
    <t>6b)</t>
  </si>
  <si>
    <t>6d)</t>
  </si>
  <si>
    <t xml:space="preserve">7.) Monthly Expenses Per Unit - Please exclude real estate taxes in this section. </t>
  </si>
  <si>
    <t>If specific expense breakdowns are unknown at a minimum please fill the expense ratio as a percentage of effective gross revenue in part 7s and 7t</t>
  </si>
  <si>
    <t>Expense Types</t>
  </si>
  <si>
    <t>Payroll &amp; Benefits</t>
  </si>
  <si>
    <t>7a)</t>
  </si>
  <si>
    <t>7j)</t>
  </si>
  <si>
    <t>Administrative</t>
  </si>
  <si>
    <t>7b)</t>
  </si>
  <si>
    <t>7k)</t>
  </si>
  <si>
    <t>Marketing &amp; Leasing</t>
  </si>
  <si>
    <t>7c)</t>
  </si>
  <si>
    <t>7l)</t>
  </si>
  <si>
    <t>Utilities</t>
  </si>
  <si>
    <t>7d)</t>
  </si>
  <si>
    <t>7m)</t>
  </si>
  <si>
    <t>Repairs &amp; Maintenance</t>
  </si>
  <si>
    <t>7e)</t>
  </si>
  <si>
    <t>7n)</t>
  </si>
  <si>
    <t>Janitorial &amp; Cleaning</t>
  </si>
  <si>
    <t>7f)</t>
  </si>
  <si>
    <t>7o)</t>
  </si>
  <si>
    <t>Insurance</t>
  </si>
  <si>
    <t>7g)</t>
  </si>
  <si>
    <t>7p)</t>
  </si>
  <si>
    <t>Miscellaneous Expenses</t>
  </si>
  <si>
    <t>7h)</t>
  </si>
  <si>
    <t>7q)</t>
  </si>
  <si>
    <t>Total Operating Expenses</t>
  </si>
  <si>
    <t>7i)</t>
  </si>
  <si>
    <t>7r)</t>
  </si>
  <si>
    <t/>
  </si>
  <si>
    <t>Ratios</t>
  </si>
  <si>
    <t>7s)</t>
  </si>
  <si>
    <t>% of egr</t>
  </si>
  <si>
    <t>7t)</t>
  </si>
  <si>
    <t>8.) Additional Expenses As A Percentage of Effective Gross Revenue (EGR)</t>
  </si>
  <si>
    <t>Additional Expense Types</t>
  </si>
  <si>
    <t>8a)</t>
  </si>
  <si>
    <t>8c)</t>
  </si>
  <si>
    <t>8b)</t>
  </si>
  <si>
    <t>8d)</t>
  </si>
  <si>
    <t>9.) Expense Escalations Rate Per Year</t>
  </si>
  <si>
    <t>9a)</t>
  </si>
  <si>
    <t>9b)</t>
  </si>
  <si>
    <t>10.) Unit Absorption</t>
  </si>
  <si>
    <t>Absorption Types</t>
  </si>
  <si>
    <t>10a</t>
  </si>
  <si>
    <t>% of total unit count</t>
  </si>
  <si>
    <t>10c</t>
  </si>
  <si>
    <t>Leases Per Month</t>
  </si>
  <si>
    <t>10b</t>
  </si>
  <si>
    <t># units per month</t>
  </si>
  <si>
    <t>10d</t>
  </si>
  <si>
    <t>11.) Cap Rate</t>
  </si>
  <si>
    <t>Terminal Figures</t>
  </si>
  <si>
    <t>Overall Rate</t>
  </si>
  <si>
    <t>11a</t>
  </si>
  <si>
    <t>12.) Additional Space</t>
  </si>
  <si>
    <t>Additional Space Types</t>
  </si>
  <si>
    <t>12a</t>
  </si>
  <si>
    <t># sf</t>
  </si>
  <si>
    <t>12e</t>
  </si>
  <si>
    <t>12b</t>
  </si>
  <si>
    <t>% of gross sf</t>
  </si>
  <si>
    <t>12f</t>
  </si>
  <si>
    <t>12c</t>
  </si>
  <si>
    <t>12g</t>
  </si>
  <si>
    <t>12d</t>
  </si>
  <si>
    <t>12h</t>
  </si>
  <si>
    <t>Retail Assumptions</t>
  </si>
  <si>
    <t>This section may be skipped if no retail is envisioned on the site</t>
  </si>
  <si>
    <t>1-11.) Contract Leases - Please fill this section if some tenants are known in advance, if none are known please use the speculative lease section</t>
  </si>
  <si>
    <t>1.)</t>
  </si>
  <si>
    <t>Tenant Name</t>
  </si>
  <si>
    <t>2.)</t>
  </si>
  <si>
    <t>Tenant Type</t>
  </si>
  <si>
    <t>3.)</t>
  </si>
  <si>
    <t>Rentable Aera</t>
  </si>
  <si>
    <t>4.)</t>
  </si>
  <si>
    <t>Lease Start Date</t>
  </si>
  <si>
    <t>name</t>
  </si>
  <si>
    <t>ground floor, small box, big box, outlot</t>
  </si>
  <si>
    <t>4d)</t>
  </si>
  <si>
    <t>4e)</t>
  </si>
  <si>
    <t>4f)</t>
  </si>
  <si>
    <t>4g)</t>
  </si>
  <si>
    <t>4h)</t>
  </si>
  <si>
    <t>4i)</t>
  </si>
  <si>
    <t>4j)</t>
  </si>
  <si>
    <t>5.)</t>
  </si>
  <si>
    <t>Lease Length</t>
  </si>
  <si>
    <t>6.)</t>
  </si>
  <si>
    <t>Annual Base Rental Rate</t>
  </si>
  <si>
    <t>7.)</t>
  </si>
  <si>
    <t>Rent Escalation</t>
  </si>
  <si>
    <t>8.)</t>
  </si>
  <si>
    <t>Escalation Step</t>
  </si>
  <si>
    <t># years</t>
  </si>
  <si>
    <t>$ per sf per year</t>
  </si>
  <si>
    <t>every # months</t>
  </si>
  <si>
    <t>6e)</t>
  </si>
  <si>
    <t>8e)</t>
  </si>
  <si>
    <t>6f)</t>
  </si>
  <si>
    <t>8f)</t>
  </si>
  <si>
    <t>6g)</t>
  </si>
  <si>
    <t>8g)</t>
  </si>
  <si>
    <t>6h)</t>
  </si>
  <si>
    <t>8h)</t>
  </si>
  <si>
    <t>6i)</t>
  </si>
  <si>
    <t>8i)</t>
  </si>
  <si>
    <t>6j)</t>
  </si>
  <si>
    <t>8j)</t>
  </si>
  <si>
    <t>9.)</t>
  </si>
  <si>
    <t>Leasing Commissions</t>
  </si>
  <si>
    <t>10.)</t>
  </si>
  <si>
    <t>11.)</t>
  </si>
  <si>
    <t>% of lease value</t>
  </si>
  <si>
    <t>10a)</t>
  </si>
  <si>
    <t>$ per rentable sf</t>
  </si>
  <si>
    <t>11a)</t>
  </si>
  <si>
    <t>10b)</t>
  </si>
  <si>
    <t>11b)</t>
  </si>
  <si>
    <t>9c)</t>
  </si>
  <si>
    <t>10c)</t>
  </si>
  <si>
    <t>11c)</t>
  </si>
  <si>
    <t>9d)</t>
  </si>
  <si>
    <t>10d)</t>
  </si>
  <si>
    <t>11d)</t>
  </si>
  <si>
    <t>9e)</t>
  </si>
  <si>
    <t>10e)</t>
  </si>
  <si>
    <t>11e)</t>
  </si>
  <si>
    <t>9f)</t>
  </si>
  <si>
    <t>10f)</t>
  </si>
  <si>
    <t>11f)</t>
  </si>
  <si>
    <t>9g)</t>
  </si>
  <si>
    <t>10g)</t>
  </si>
  <si>
    <t>11g)</t>
  </si>
  <si>
    <t>9h)</t>
  </si>
  <si>
    <t>10h)</t>
  </si>
  <si>
    <t>11h)</t>
  </si>
  <si>
    <t>9i)</t>
  </si>
  <si>
    <t>10i)</t>
  </si>
  <si>
    <t>11i)</t>
  </si>
  <si>
    <t>9j)</t>
  </si>
  <si>
    <t>10j)</t>
  </si>
  <si>
    <t>11j)</t>
  </si>
  <si>
    <t>12-15.) Speculative Leases - If only contracted tenants are envisioned, please skip this section. This section is divided among 4 lease types, please fill out all types that apply to your project</t>
  </si>
  <si>
    <t>Lease Type</t>
  </si>
  <si>
    <t>12.)</t>
  </si>
  <si>
    <t>Ground Floor Lease</t>
  </si>
  <si>
    <t>13.)</t>
  </si>
  <si>
    <t>Small Box Lease</t>
  </si>
  <si>
    <t>14.)</t>
  </si>
  <si>
    <t>Big Box Lease</t>
  </si>
  <si>
    <t>15.)</t>
  </si>
  <si>
    <t>Outlot Lease</t>
  </si>
  <si>
    <t>12a)</t>
  </si>
  <si>
    <t># tenants</t>
  </si>
  <si>
    <t>13a)</t>
  </si>
  <si>
    <t>14a)</t>
  </si>
  <si>
    <t>15a)</t>
  </si>
  <si>
    <t>12b)</t>
  </si>
  <si>
    <t># sf per tenant</t>
  </si>
  <si>
    <t>13b)</t>
  </si>
  <si>
    <t>14b)</t>
  </si>
  <si>
    <t>15b)</t>
  </si>
  <si>
    <t>12c)</t>
  </si>
  <si>
    <t>13c)</t>
  </si>
  <si>
    <t>14c)</t>
  </si>
  <si>
    <t>15c)</t>
  </si>
  <si>
    <t>12d)</t>
  </si>
  <si>
    <t>13d)</t>
  </si>
  <si>
    <t>14d)</t>
  </si>
  <si>
    <t>15d)</t>
  </si>
  <si>
    <t>12e)</t>
  </si>
  <si>
    <t>13e)</t>
  </si>
  <si>
    <t>14e)</t>
  </si>
  <si>
    <t>15e)</t>
  </si>
  <si>
    <t>12f)</t>
  </si>
  <si>
    <t>13f)</t>
  </si>
  <si>
    <t>14f)</t>
  </si>
  <si>
    <t>15f)</t>
  </si>
  <si>
    <t>12g)</t>
  </si>
  <si>
    <t>13g)</t>
  </si>
  <si>
    <t>14g)</t>
  </si>
  <si>
    <t>15g)</t>
  </si>
  <si>
    <t>12h)</t>
  </si>
  <si>
    <t>13h)</t>
  </si>
  <si>
    <t>14h)</t>
  </si>
  <si>
    <t>15h)</t>
  </si>
  <si>
    <t>12i)</t>
  </si>
  <si>
    <t>% of gross potential revenue</t>
  </si>
  <si>
    <t>13i)</t>
  </si>
  <si>
    <t>14i)</t>
  </si>
  <si>
    <t>15i)</t>
  </si>
  <si>
    <t>12j)</t>
  </si>
  <si>
    <t>13j)</t>
  </si>
  <si>
    <t>14j)</t>
  </si>
  <si>
    <t>15j)</t>
  </si>
  <si>
    <t>12k)</t>
  </si>
  <si>
    <t>% of tenants</t>
  </si>
  <si>
    <t>13k)</t>
  </si>
  <si>
    <t>14k)</t>
  </si>
  <si>
    <t>15k)</t>
  </si>
  <si>
    <t>12l)</t>
  </si>
  <si>
    <t>13l)</t>
  </si>
  <si>
    <t>14l)</t>
  </si>
  <si>
    <t>15l)</t>
  </si>
  <si>
    <t>12m)</t>
  </si>
  <si>
    <t>13m)</t>
  </si>
  <si>
    <t>14m)</t>
  </si>
  <si>
    <t>15m)</t>
  </si>
  <si>
    <t>16.) Other Revenue</t>
  </si>
  <si>
    <t>Other Revenue</t>
  </si>
  <si>
    <t>16a)</t>
  </si>
  <si>
    <t>$ per month</t>
  </si>
  <si>
    <t>16b)</t>
  </si>
  <si>
    <t xml:space="preserve">17.) Monthly Expenses Per Unit - Please exclude real estate taxes in this section. </t>
  </si>
  <si>
    <t>If specific expense breakdowns are unknown at a minimum please fill the expense ratio as a percentage of effective gross revenue in part 17m</t>
  </si>
  <si>
    <t>Rate</t>
  </si>
  <si>
    <t>Paid By</t>
  </si>
  <si>
    <t>17a)</t>
  </si>
  <si>
    <t>17g)</t>
  </si>
  <si>
    <t>tenant / landlord</t>
  </si>
  <si>
    <t>17b)</t>
  </si>
  <si>
    <t>17h)</t>
  </si>
  <si>
    <t>17c)</t>
  </si>
  <si>
    <t>17i)</t>
  </si>
  <si>
    <t>17d)</t>
  </si>
  <si>
    <t>17j)</t>
  </si>
  <si>
    <t>17e)</t>
  </si>
  <si>
    <t>17k)</t>
  </si>
  <si>
    <t>17f)</t>
  </si>
  <si>
    <t>17l)</t>
  </si>
  <si>
    <t>17m)</t>
  </si>
  <si>
    <t>18.) Additional Expenses As A Percentage of Effective Gross Revenue (EGR)</t>
  </si>
  <si>
    <t>18a)</t>
  </si>
  <si>
    <t>18b)</t>
  </si>
  <si>
    <t>19.) Expense Escalations Rate Per Year</t>
  </si>
  <si>
    <t>19a)</t>
  </si>
  <si>
    <t>20.) Cap Rate</t>
  </si>
  <si>
    <t>20a)</t>
  </si>
  <si>
    <t>21.) Additional Space - Please note, selecting yes will assume the area figures are incorporate in the figures entered in the contract / speculative lease sections</t>
  </si>
  <si>
    <t>Area / Percentage</t>
  </si>
  <si>
    <t>Incorporated In Rentable Area</t>
  </si>
  <si>
    <t>21a)</t>
  </si>
  <si>
    <t>21e)</t>
  </si>
  <si>
    <t>yes / no</t>
  </si>
  <si>
    <t>21b)</t>
  </si>
  <si>
    <t>21f)</t>
  </si>
  <si>
    <t>21c)</t>
  </si>
  <si>
    <t>21g)</t>
  </si>
  <si>
    <t>21d)</t>
  </si>
  <si>
    <t>21h)</t>
  </si>
  <si>
    <t>Office Assumptions</t>
  </si>
  <si>
    <t>This section may be skipped if no office is envisioned on the site</t>
  </si>
  <si>
    <t>anchor, non-anchor, medical, ground floor</t>
  </si>
  <si>
    <t>Anchor Lease</t>
  </si>
  <si>
    <t>Non-anchor Lease</t>
  </si>
  <si>
    <t>Medical Lease</t>
  </si>
  <si>
    <t>17.) Monthly Expenses Per Unit - Please exclude real estate taxes in this section.</t>
  </si>
  <si>
    <t>Hotel Assumptions</t>
  </si>
  <si>
    <t>This section may be skipped if no hotel is envisioned on the site</t>
  </si>
  <si>
    <t>1.) Key Count - If key type breakdowns are unknown, at minimum please fill totals in part 1d</t>
  </si>
  <si>
    <t>Key Type</t>
  </si>
  <si>
    <t>Single</t>
  </si>
  <si>
    <t># keys</t>
  </si>
  <si>
    <t>Double</t>
  </si>
  <si>
    <t>Suites</t>
  </si>
  <si>
    <t>2.) Average Net Key Size - If key type breakdowns are unknown, at minimum please fill totals in part 2d</t>
  </si>
  <si>
    <t># sf per key</t>
  </si>
  <si>
    <t>Total Average Net Key Size</t>
  </si>
  <si>
    <t>3.) Average Daily Rate - If key type breakdowns are unknown, at minimum please fill totals in part 3d</t>
  </si>
  <si>
    <t>$ per key per day</t>
  </si>
  <si>
    <t>Total Average Daily Rate</t>
  </si>
  <si>
    <t>4.) Other Income</t>
  </si>
  <si>
    <t>$ per occupied room per day</t>
  </si>
  <si>
    <t>$ total per month</t>
  </si>
  <si>
    <t xml:space="preserve">6.) Departmental Expenses - Please exclude real estate taxes in this section. </t>
  </si>
  <si>
    <t>If specific expense breakdowns are unknown at a minimum please fill the expense ratio as a percentage of effective gross revenue in part 6e</t>
  </si>
  <si>
    <t>Rooms</t>
  </si>
  <si>
    <t>Food &amp; Beverage</t>
  </si>
  <si>
    <t>Miscellaneous Departmental Expense</t>
  </si>
  <si>
    <t>7.) Undistributed Expenses - Please exclude real estate taxes in this section.</t>
  </si>
  <si>
    <t>If specific expense breakdowns are unknown at a minimum please fill the expense ratio as a percentage of effective gross revenue in part 7i</t>
  </si>
  <si>
    <t>Information Technology</t>
  </si>
  <si>
    <t>Marketing</t>
  </si>
  <si>
    <t>Miscellaneous Undistributed Expense</t>
  </si>
  <si>
    <t xml:space="preserve">8.) Fixed Expenses - Please exclude real estate taxes in this section. </t>
  </si>
  <si>
    <t>If specific expense breakdowns are unknown at a minimum please fill the expense ratio as a percentage of effective gross revenue in part 7d</t>
  </si>
  <si>
    <t>Miscellaneous Fixed Expense</t>
  </si>
  <si>
    <t>9.) Additional Expenses As A Percentage of Effective Gross Revenue</t>
  </si>
  <si>
    <t xml:space="preserve">9a) </t>
  </si>
  <si>
    <t xml:space="preserve">9b) </t>
  </si>
  <si>
    <t>10.) Expense Escalations Rate Per Year</t>
  </si>
  <si>
    <t>11.) Occupancy &amp; Stabilization</t>
  </si>
  <si>
    <t>Occupancy Intervals</t>
  </si>
  <si>
    <t>% of total key count</t>
  </si>
  <si>
    <t>12.) Cap Rate</t>
  </si>
  <si>
    <t>13.) Additional Space</t>
  </si>
  <si>
    <t>Industrial Assumptions</t>
  </si>
  <si>
    <t>This section may be skipped if no industrial is envisioned on the site</t>
  </si>
  <si>
    <t>manufacturing, warehouse/distribution, food processing/cold storage, specialty/other</t>
  </si>
  <si>
    <t>Manufacturing Lease</t>
  </si>
  <si>
    <t>Warehouse / Distribution Lease</t>
  </si>
  <si>
    <t>Food Processing / Cold Storage Lease</t>
  </si>
  <si>
    <t>Specialty / Other Lease</t>
  </si>
  <si>
    <t>Parking Assumptions</t>
  </si>
  <si>
    <t>This section may be skipped if no parking is envisioned on the site</t>
  </si>
  <si>
    <t>1.) Stall Count</t>
  </si>
  <si>
    <t>Attributed To</t>
  </si>
  <si>
    <t># stalls</t>
  </si>
  <si>
    <t>2.) Stall Size</t>
  </si>
  <si>
    <t>3.) Revenue Per Stall</t>
  </si>
  <si>
    <t>$ per stall per month</t>
  </si>
  <si>
    <t>4.) Revenue Per Stall</t>
  </si>
  <si>
    <t>5.) Public Parking - Transient Revenue - Section may be left blank if no public parking</t>
  </si>
  <si>
    <t>% of total public stalls</t>
  </si>
  <si>
    <t>$ per stall per day</t>
  </si>
  <si>
    <t># per stall per day</t>
  </si>
  <si>
    <t>% of transient public stalls</t>
  </si>
  <si>
    <t>6.) Public Parking - Non Transient Revenue - Section may be left blank if no public parking</t>
  </si>
  <si>
    <t>% of non transient public stalls</t>
  </si>
  <si>
    <t>7.) Public Parking - Expenses - Section may be left blank if no public parking</t>
  </si>
  <si>
    <t>8.) Cap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</si>
</sst>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4" formatCode="_(&quot;$&quot;* #,##0.00_);_(&quot;$&quot;* \(#,##0.00\);_(&quot;$&quot;* &quot;-&quot;??_);_(@_)"/>
    <numFmt numFmtId="164" formatCode="_(&quot;$&quot;* #,##0_);_(&quot;$&quot;* \(#,##0\);_(&quot;$&quot;* &quot;-&quot;??_);_(@_)"/>
    <numFmt numFmtId="165" formatCode="0.0%"/>
    <numFmt numFmtId="166" formatCode="#,##0\ &quot;sf&quot;"/>
    <numFmt numFmtId="167" formatCode="#,##0\ &quot;stories&quot;"/>
    <numFmt numFmtId="168" formatCode="&quot;$&quot;#,##0"/>
    <numFmt numFmtId="169" formatCode="0.0%\ &quot;per year&quot;"/>
    <numFmt numFmtId="170" formatCode="0\ &quot;months&quot;"/>
    <numFmt numFmtId="171" formatCode="0\ &quot;units&quot;"/>
    <numFmt numFmtId="172" formatCode="&quot;$&quot;0.00\ &quot;per sf per month&quot;"/>
    <numFmt numFmtId="173" formatCode="&quot;$&quot;##0.00\ &quot;per unit per month&quot;"/>
    <numFmt numFmtId="174" formatCode="0.0%\ &quot;of gpr&quot;"/>
    <numFmt numFmtId="175" formatCode="#0.0%\ &quot;of egr&quot;"/>
    <numFmt numFmtId="176" formatCode="0.0%\ &quot;of total units&quot;"/>
    <numFmt numFmtId="177" formatCode="#,##0\ &quot;units per month&quot;"/>
    <numFmt numFmtId="178" formatCode="0.0%\ &quot;of gross sf&quot;"/>
    <numFmt numFmtId="179" formatCode="0\ &quot;years&quot;"/>
    <numFmt numFmtId="180" formatCode="&quot;$&quot;0.00\ &quot;per sf per year&quot;"/>
    <numFmt numFmtId="181" formatCode="&quot;every&quot;\ 0\ &quot;months&quot;"/>
    <numFmt numFmtId="182" formatCode="0.0%\ &quot;of lease value&quot;"/>
    <numFmt numFmtId="183" formatCode="&quot;$&quot;0.00\ &quot;per rentable sf&quot;"/>
    <numFmt numFmtId="184" formatCode="0\ &quot;tenants&quot;"/>
    <numFmt numFmtId="185" formatCode="#,##0\ &quot;sf per tenant&quot;"/>
    <numFmt numFmtId="186" formatCode="##\ &quot;months&quot;"/>
    <numFmt numFmtId="187" formatCode="0.0%\ &quot;of tenants&quot;"/>
    <numFmt numFmtId="188" formatCode="&quot;$&quot;0.00\ &quot;per month&quot;"/>
    <numFmt numFmtId="189" formatCode="0.0%\ &quot;pf egr&quot;"/>
    <numFmt numFmtId="190" formatCode="#,##0\ &quot;keys&quot;"/>
    <numFmt numFmtId="191" formatCode="#,##0\ &quot;sf per key&quot;"/>
    <numFmt numFmtId="192" formatCode="&quot;$&quot;0.00\ &quot;per key per day&quot;"/>
    <numFmt numFmtId="193" formatCode="&quot;$&quot;0.00\ &quot;per occupied key per day&quot;"/>
    <numFmt numFmtId="194" formatCode="&quot;$&quot;#,##0\ &quot;total per month&quot;"/>
    <numFmt numFmtId="195" formatCode="0.00%\ &quot;of total keys&quot;"/>
    <numFmt numFmtId="196" formatCode="#,##0\ &quot;stalls&quot;"/>
    <numFmt numFmtId="197" formatCode="0.0%\ &quot;of public stalls&quot;"/>
    <numFmt numFmtId="198" formatCode="&quot;$&quot;0.00\ &quot;per stall per day&quot;"/>
    <numFmt numFmtId="199" formatCode="0.0\ &quot;per stall per day&quot;"/>
    <numFmt numFmtId="200" formatCode="0.0%\ &quot;of transient public stalls&quot;"/>
    <numFmt numFmtId="201" formatCode="0.0%\ &quot;of non transient public stalls&quot;"/>
  </numFmts>
  <fonts count="30" x14ac:knownFonts="1">
    <font>
      <sz val="11"/>
      <color theme="1"/>
      <name val="Calibri"/>
      <family val="2"/>
      <scheme val="minor"/>
    </font>
    <font>
      <sz val="11"/>
      <color theme="1"/>
      <name val="Garamond"/>
      <family val="1"/>
    </font>
    <font>
      <sz val="10"/>
      <name val="Arial"/>
      <family val="2"/>
    </font>
    <font>
      <sz val="11"/>
      <color rgb="FFFFFFFF"/>
      <name val="Arial Black"/>
      <family val="2"/>
    </font>
    <font>
      <sz val="11"/>
      <color theme="1"/>
      <name val="Calibri"/>
      <family val="2"/>
      <scheme val="minor"/>
    </font>
    <font>
      <b/>
      <sz val="11"/>
      <color theme="1"/>
      <name val="Calibri"/>
      <family val="2"/>
      <scheme val="minor"/>
    </font>
    <font>
      <sz val="8"/>
      <name val="Calibri"/>
      <family val="2"/>
      <scheme val="minor"/>
    </font>
    <font>
      <sz val="11"/>
      <color rgb="FF000000"/>
      <name val="Garamond"/>
      <family val="1"/>
    </font>
    <font>
      <sz val="10"/>
      <color theme="1"/>
      <name val="Calibri"/>
      <family val="2"/>
      <scheme val="minor"/>
    </font>
    <font>
      <sz val="11"/>
      <color rgb="FFFFFFFF"/>
      <name val="Calibri"/>
      <family val="2"/>
      <scheme val="minor"/>
    </font>
    <font>
      <sz val="10"/>
      <color theme="1"/>
      <name val="Arial Black"/>
      <family val="2"/>
    </font>
    <font>
      <b/>
      <sz val="10"/>
      <color theme="0"/>
      <name val="Arial Black"/>
      <family val="2"/>
    </font>
    <font>
      <sz val="11"/>
      <color theme="0"/>
      <name val="Calibri"/>
      <family val="2"/>
      <scheme val="minor"/>
    </font>
    <font>
      <b/>
      <sz val="11"/>
      <color theme="0"/>
      <name val="Calibri"/>
      <family val="2"/>
      <scheme val="minor"/>
    </font>
    <font>
      <sz val="16"/>
      <color theme="0"/>
      <name val="Arial Black"/>
      <family val="2"/>
    </font>
    <font>
      <sz val="11"/>
      <name val="Calibri"/>
      <family val="2"/>
      <scheme val="minor"/>
    </font>
    <font>
      <b/>
      <sz val="14"/>
      <color theme="0"/>
      <name val="Calibri"/>
      <family val="2"/>
      <scheme val="minor"/>
    </font>
    <font>
      <sz val="11"/>
      <color rgb="FF000000"/>
      <name val="Calibri"/>
      <family val="2"/>
    </font>
    <font>
      <sz val="8"/>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u/>
      <sz val="11"/>
      <color theme="1"/>
      <name val="Calibri"/>
      <family val="2"/>
      <scheme val="minor"/>
    </font>
    <font>
      <u/>
      <sz val="12"/>
      <color theme="1"/>
      <name val="Calibri"/>
      <family val="2"/>
      <scheme val="minor"/>
    </font>
    <font>
      <b/>
      <sz val="12"/>
      <color theme="0"/>
      <name val="Arial Black"/>
      <family val="2"/>
    </font>
    <font>
      <sz val="11"/>
      <color theme="0"/>
      <name val="Arial Black"/>
      <family val="2"/>
    </font>
    <font>
      <b/>
      <sz val="11"/>
      <color theme="0"/>
      <name val="Arial Black"/>
      <family val="2"/>
    </font>
    <font>
      <b/>
      <u/>
      <sz val="12"/>
      <color theme="1"/>
      <name val="Calibri"/>
      <family val="2"/>
      <scheme val="minor"/>
    </font>
    <font>
      <b/>
      <i/>
      <sz val="12"/>
      <color theme="1"/>
      <name val="Calibri"/>
      <family val="2"/>
      <scheme val="minor"/>
    </font>
  </fonts>
  <fills count="12">
    <fill>
      <patternFill patternType="none"/>
    </fill>
    <fill>
      <patternFill patternType="gray125"/>
    </fill>
    <fill>
      <patternFill patternType="solid">
        <fgColor rgb="FF44546A"/>
        <bgColor rgb="FF000000"/>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theme="3"/>
        <bgColor rgb="FF000000"/>
      </patternFill>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right/>
      <top/>
      <bottom style="thin">
        <color indexed="64"/>
      </bottom>
      <diagonal/>
    </border>
    <border>
      <left/>
      <right/>
      <top/>
      <bottom style="thin">
        <color rgb="FF000000"/>
      </bottom>
      <diagonal/>
    </border>
    <border>
      <left/>
      <right/>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4" fontId="4" fillId="0" borderId="0" applyFont="0" applyFill="0" applyBorder="0" applyAlignment="0" applyProtection="0"/>
    <xf numFmtId="9" fontId="4" fillId="0" borderId="0" applyFont="0" applyFill="0" applyBorder="0" applyAlignment="0" applyProtection="0"/>
  </cellStyleXfs>
  <cellXfs count="373">
    <xf numFmtId="0" fontId="0" fillId="0" borderId="0" xfId="0"/>
    <xf numFmtId="0" fontId="1" fillId="0" borderId="0" xfId="0" applyFont="1"/>
    <xf numFmtId="0" fontId="3" fillId="2" borderId="1" xfId="0" applyFont="1" applyFill="1" applyBorder="1" applyAlignment="1"/>
    <xf numFmtId="0" fontId="1" fillId="0" borderId="0" xfId="0" applyFont="1" applyFill="1" applyBorder="1" applyAlignment="1">
      <alignment horizontal="left"/>
    </xf>
    <xf numFmtId="0" fontId="1" fillId="0" borderId="0" xfId="0" applyFont="1"/>
    <xf numFmtId="0" fontId="1" fillId="0" borderId="0" xfId="0" applyFont="1"/>
    <xf numFmtId="0" fontId="1" fillId="0" borderId="0" xfId="0" applyFont="1" applyFill="1"/>
    <xf numFmtId="0" fontId="0" fillId="0" borderId="0" xfId="0"/>
    <xf numFmtId="0" fontId="1" fillId="0" borderId="0" xfId="0" applyFont="1"/>
    <xf numFmtId="0" fontId="1" fillId="0" borderId="0" xfId="0" applyFont="1" applyBorder="1"/>
    <xf numFmtId="0" fontId="1" fillId="0" borderId="0" xfId="0" applyFont="1" applyFill="1"/>
    <xf numFmtId="0" fontId="8" fillId="0" borderId="0" xfId="0" applyFont="1"/>
    <xf numFmtId="0" fontId="7" fillId="0" borderId="0" xfId="0" applyFont="1"/>
    <xf numFmtId="0" fontId="0" fillId="0" borderId="0" xfId="0" applyFont="1"/>
    <xf numFmtId="0" fontId="9" fillId="2" borderId="1" xfId="0" applyFont="1" applyFill="1" applyBorder="1" applyAlignment="1"/>
    <xf numFmtId="0" fontId="0" fillId="4" borderId="0" xfId="0" applyFont="1" applyFill="1" applyBorder="1" applyAlignment="1">
      <alignment horizontal="left"/>
    </xf>
    <xf numFmtId="0" fontId="0" fillId="3" borderId="0" xfId="0" applyFont="1" applyFill="1"/>
    <xf numFmtId="0" fontId="8" fillId="0" borderId="0" xfId="0" applyFont="1" applyAlignment="1">
      <alignment horizontal="center"/>
    </xf>
    <xf numFmtId="0" fontId="0" fillId="0" borderId="1" xfId="0" applyFont="1" applyBorder="1"/>
    <xf numFmtId="0" fontId="0" fillId="0" borderId="1" xfId="0" applyFont="1" applyBorder="1" applyAlignment="1">
      <alignment horizontal="left"/>
    </xf>
    <xf numFmtId="0" fontId="0" fillId="0" borderId="0" xfId="0" applyFont="1" applyBorder="1"/>
    <xf numFmtId="0" fontId="0" fillId="0" borderId="0" xfId="0" applyFont="1" applyAlignment="1">
      <alignment wrapText="1"/>
    </xf>
    <xf numFmtId="0" fontId="0" fillId="0" borderId="0" xfId="0" applyFont="1" applyBorder="1" applyAlignment="1">
      <alignment horizontal="left" vertical="center"/>
    </xf>
    <xf numFmtId="0" fontId="10" fillId="0" borderId="1" xfId="0" applyFont="1" applyBorder="1"/>
    <xf numFmtId="0" fontId="10" fillId="0" borderId="0" xfId="0" applyFont="1"/>
    <xf numFmtId="0" fontId="10" fillId="0" borderId="0" xfId="0" applyFont="1" applyBorder="1"/>
    <xf numFmtId="0" fontId="8" fillId="0" borderId="0" xfId="0" applyFont="1" applyBorder="1"/>
    <xf numFmtId="0" fontId="0" fillId="0" borderId="0" xfId="0" applyFont="1" applyAlignment="1">
      <alignment horizontal="left" vertical="center"/>
    </xf>
    <xf numFmtId="0" fontId="0" fillId="0" borderId="1" xfId="0" applyFont="1" applyBorder="1" applyAlignment="1">
      <alignment horizontal="left" vertical="center"/>
    </xf>
    <xf numFmtId="0" fontId="10" fillId="0" borderId="0" xfId="0" applyFont="1" applyAlignment="1"/>
    <xf numFmtId="0" fontId="0" fillId="0" borderId="0" xfId="0" applyFont="1" applyFill="1"/>
    <xf numFmtId="0" fontId="0" fillId="0" borderId="0" xfId="0" applyFont="1" applyFill="1" applyBorder="1" applyAlignment="1">
      <alignment horizontal="left"/>
    </xf>
    <xf numFmtId="0" fontId="0" fillId="0" borderId="1" xfId="0" applyFont="1" applyFill="1" applyBorder="1"/>
    <xf numFmtId="0" fontId="0" fillId="0" borderId="0" xfId="0" applyFont="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0" xfId="0" applyFont="1" applyFill="1" applyBorder="1"/>
    <xf numFmtId="0" fontId="10" fillId="0" borderId="0" xfId="0" applyFont="1" applyAlignment="1">
      <alignment wrapText="1"/>
    </xf>
    <xf numFmtId="0" fontId="0" fillId="0" borderId="0" xfId="0" applyBorder="1"/>
    <xf numFmtId="0" fontId="5" fillId="0" borderId="0" xfId="0" applyFont="1"/>
    <xf numFmtId="49" fontId="3" fillId="2" borderId="1" xfId="0" applyNumberFormat="1" applyFont="1" applyFill="1" applyBorder="1" applyAlignment="1"/>
    <xf numFmtId="49" fontId="0" fillId="0" borderId="0" xfId="0" applyNumberFormat="1" applyFont="1"/>
    <xf numFmtId="49" fontId="10" fillId="0" borderId="1" xfId="0" applyNumberFormat="1" applyFont="1" applyBorder="1"/>
    <xf numFmtId="49" fontId="8" fillId="0" borderId="0" xfId="0" applyNumberFormat="1" applyFont="1"/>
    <xf numFmtId="49" fontId="5" fillId="0" borderId="0" xfId="0" applyNumberFormat="1" applyFont="1"/>
    <xf numFmtId="0" fontId="3" fillId="2" borderId="1" xfId="0" applyFont="1" applyFill="1" applyBorder="1" applyAlignment="1">
      <alignment horizontal="right"/>
    </xf>
    <xf numFmtId="0" fontId="1" fillId="0" borderId="0" xfId="0" applyFont="1" applyAlignment="1">
      <alignment horizontal="right"/>
    </xf>
    <xf numFmtId="0" fontId="0" fillId="0" borderId="0" xfId="0" applyFont="1" applyAlignment="1">
      <alignment horizontal="right"/>
    </xf>
    <xf numFmtId="0" fontId="10" fillId="0" borderId="0" xfId="0" applyFont="1" applyBorder="1" applyAlignment="1">
      <alignment horizontal="right"/>
    </xf>
    <xf numFmtId="0" fontId="0" fillId="0" borderId="1" xfId="0" applyFont="1" applyBorder="1" applyAlignment="1">
      <alignment horizontal="right"/>
    </xf>
    <xf numFmtId="0" fontId="0" fillId="0" borderId="0" xfId="0" applyFont="1" applyBorder="1" applyAlignment="1">
      <alignment horizontal="right"/>
    </xf>
    <xf numFmtId="0" fontId="10" fillId="0" borderId="0" xfId="0" applyFont="1" applyAlignment="1">
      <alignment horizontal="right"/>
    </xf>
    <xf numFmtId="0" fontId="8" fillId="0" borderId="0" xfId="0" applyFont="1" applyBorder="1" applyAlignment="1">
      <alignment horizontal="right"/>
    </xf>
    <xf numFmtId="49" fontId="3" fillId="2" borderId="1" xfId="0" applyNumberFormat="1" applyFont="1" applyFill="1" applyBorder="1" applyAlignment="1">
      <alignment horizontal="right"/>
    </xf>
    <xf numFmtId="49" fontId="1" fillId="0" borderId="0" xfId="0" applyNumberFormat="1" applyFont="1" applyAlignment="1">
      <alignment horizontal="right"/>
    </xf>
    <xf numFmtId="49" fontId="0" fillId="0" borderId="0" xfId="0" applyNumberFormat="1" applyFont="1" applyAlignment="1">
      <alignment horizontal="right"/>
    </xf>
    <xf numFmtId="49" fontId="10" fillId="0" borderId="0" xfId="0" applyNumberFormat="1" applyFont="1" applyAlignment="1">
      <alignment horizontal="right"/>
    </xf>
    <xf numFmtId="49" fontId="0" fillId="0" borderId="1" xfId="0" applyNumberFormat="1" applyFont="1" applyBorder="1" applyAlignment="1">
      <alignment horizontal="right"/>
    </xf>
    <xf numFmtId="49" fontId="0" fillId="0" borderId="0" xfId="0" applyNumberFormat="1" applyFont="1" applyBorder="1" applyAlignment="1">
      <alignment horizontal="right"/>
    </xf>
    <xf numFmtId="49" fontId="8" fillId="0" borderId="0" xfId="0" applyNumberFormat="1" applyFont="1" applyBorder="1" applyAlignment="1">
      <alignment horizontal="right"/>
    </xf>
    <xf numFmtId="49" fontId="8" fillId="0" borderId="0" xfId="0" applyNumberFormat="1" applyFont="1" applyAlignment="1">
      <alignment horizontal="right"/>
    </xf>
    <xf numFmtId="49" fontId="0" fillId="0" borderId="0" xfId="0" applyNumberFormat="1" applyFont="1" applyAlignment="1">
      <alignment horizontal="right" vertical="center"/>
    </xf>
    <xf numFmtId="49" fontId="0" fillId="0" borderId="1" xfId="0" applyNumberFormat="1" applyFont="1" applyBorder="1" applyAlignment="1">
      <alignment horizontal="right" vertical="center"/>
    </xf>
    <xf numFmtId="49" fontId="0" fillId="0" borderId="0" xfId="0" applyNumberFormat="1" applyFont="1" applyBorder="1" applyAlignment="1">
      <alignment horizontal="right" vertical="center"/>
    </xf>
    <xf numFmtId="0" fontId="0" fillId="0" borderId="0" xfId="0" applyFont="1" applyBorder="1" applyAlignment="1">
      <alignment horizontal="left"/>
    </xf>
    <xf numFmtId="0" fontId="9" fillId="2" borderId="1" xfId="0" applyFont="1" applyFill="1" applyBorder="1" applyAlignment="1">
      <alignment horizontal="right"/>
    </xf>
    <xf numFmtId="0" fontId="0" fillId="0" borderId="0" xfId="0" applyFont="1" applyFill="1" applyAlignment="1">
      <alignment horizontal="right"/>
    </xf>
    <xf numFmtId="0" fontId="8" fillId="0" borderId="0" xfId="0" applyFont="1" applyAlignment="1">
      <alignment horizontal="right"/>
    </xf>
    <xf numFmtId="0" fontId="0" fillId="0" borderId="1" xfId="0" applyFont="1" applyFill="1" applyBorder="1" applyAlignment="1">
      <alignment horizontal="left"/>
    </xf>
    <xf numFmtId="0" fontId="0" fillId="0" borderId="0" xfId="0" applyAlignment="1">
      <alignment horizontal="center"/>
    </xf>
    <xf numFmtId="0" fontId="14" fillId="0" borderId="0" xfId="0" applyFont="1" applyAlignment="1">
      <alignment horizontal="center" vertical="center"/>
    </xf>
    <xf numFmtId="0" fontId="12" fillId="5" borderId="0" xfId="0" applyFont="1" applyFill="1" applyAlignment="1">
      <alignment horizontal="center"/>
    </xf>
    <xf numFmtId="0" fontId="0" fillId="6" borderId="0" xfId="0" applyFill="1" applyAlignment="1">
      <alignment horizontal="center"/>
    </xf>
    <xf numFmtId="0" fontId="5" fillId="0" borderId="0" xfId="0" applyFont="1" applyAlignment="1">
      <alignment horizontal="center"/>
    </xf>
    <xf numFmtId="10" fontId="0" fillId="0" borderId="0" xfId="0" applyNumberFormat="1" applyAlignment="1">
      <alignment horizontal="center"/>
    </xf>
    <xf numFmtId="14" fontId="0" fillId="0" borderId="0" xfId="0" applyNumberFormat="1" applyAlignment="1">
      <alignment horizontal="center"/>
    </xf>
    <xf numFmtId="0" fontId="8" fillId="0" borderId="0" xfId="0" applyFont="1" applyAlignment="1">
      <alignment horizontal="left" wrapText="1"/>
    </xf>
    <xf numFmtId="0" fontId="15" fillId="10" borderId="0" xfId="0" applyFont="1" applyFill="1"/>
    <xf numFmtId="0" fontId="0" fillId="10" borderId="0" xfId="0" applyFont="1" applyFill="1"/>
    <xf numFmtId="49" fontId="0" fillId="0" borderId="1" xfId="0" applyNumberFormat="1" applyFont="1" applyBorder="1"/>
    <xf numFmtId="165" fontId="0" fillId="0" borderId="0" xfId="3" applyNumberFormat="1" applyFont="1"/>
    <xf numFmtId="0" fontId="0" fillId="10" borderId="0" xfId="0" applyFill="1"/>
    <xf numFmtId="0" fontId="0" fillId="4" borderId="0" xfId="0" applyFont="1" applyFill="1" applyBorder="1" applyAlignment="1" applyProtection="1">
      <alignment horizontal="left"/>
      <protection locked="0"/>
    </xf>
    <xf numFmtId="166" fontId="0" fillId="4" borderId="0" xfId="0" applyNumberFormat="1" applyFont="1" applyFill="1" applyProtection="1">
      <protection locked="0"/>
    </xf>
    <xf numFmtId="166" fontId="0" fillId="3" borderId="0" xfId="0" applyNumberFormat="1" applyFont="1" applyFill="1" applyProtection="1">
      <protection locked="0"/>
    </xf>
    <xf numFmtId="167" fontId="0" fillId="3" borderId="0" xfId="0" applyNumberFormat="1" applyFont="1" applyFill="1" applyProtection="1">
      <protection locked="0"/>
    </xf>
    <xf numFmtId="0" fontId="0" fillId="3" borderId="0" xfId="0" applyFont="1" applyFill="1" applyProtection="1">
      <protection locked="0"/>
    </xf>
    <xf numFmtId="0" fontId="0" fillId="4" borderId="0" xfId="0" applyFont="1" applyFill="1" applyProtection="1">
      <protection locked="0"/>
    </xf>
    <xf numFmtId="168" fontId="0" fillId="4" borderId="0" xfId="0" applyNumberFormat="1" applyFont="1" applyFill="1" applyProtection="1">
      <protection locked="0"/>
    </xf>
    <xf numFmtId="169" fontId="0" fillId="4" borderId="0" xfId="0" applyNumberFormat="1" applyFont="1" applyFill="1" applyProtection="1">
      <protection locked="0"/>
    </xf>
    <xf numFmtId="165" fontId="0" fillId="7" borderId="0" xfId="0" applyNumberFormat="1" applyFont="1" applyFill="1" applyProtection="1">
      <protection locked="0"/>
    </xf>
    <xf numFmtId="165" fontId="0" fillId="7" borderId="1" xfId="0" applyNumberFormat="1" applyFont="1" applyFill="1" applyBorder="1" applyProtection="1">
      <protection locked="0"/>
    </xf>
    <xf numFmtId="14" fontId="16" fillId="9" borderId="7" xfId="0" applyNumberFormat="1" applyFont="1" applyFill="1" applyBorder="1" applyAlignment="1">
      <alignment horizontal="center" vertical="center" wrapText="1"/>
    </xf>
    <xf numFmtId="14" fontId="16" fillId="9" borderId="8" xfId="0" applyNumberFormat="1" applyFont="1" applyFill="1" applyBorder="1" applyAlignment="1">
      <alignment horizontal="center" vertical="center" wrapText="1"/>
    </xf>
    <xf numFmtId="0" fontId="13" fillId="8" borderId="1" xfId="0" applyFont="1" applyFill="1" applyBorder="1"/>
    <xf numFmtId="0" fontId="13" fillId="5" borderId="1" xfId="0" applyFont="1" applyFill="1" applyBorder="1" applyAlignment="1">
      <alignment horizontal="center"/>
    </xf>
    <xf numFmtId="0" fontId="13" fillId="5" borderId="1" xfId="0" applyFont="1" applyFill="1" applyBorder="1" applyAlignment="1">
      <alignment horizontal="center" wrapText="1"/>
    </xf>
    <xf numFmtId="0" fontId="13" fillId="5" borderId="1" xfId="0" applyFont="1" applyFill="1" applyBorder="1" applyAlignment="1">
      <alignment horizontal="center" vertical="center" wrapText="1"/>
    </xf>
    <xf numFmtId="168" fontId="0" fillId="0" borderId="0" xfId="0" applyNumberFormat="1" applyAlignment="1">
      <alignment horizontal="center"/>
    </xf>
    <xf numFmtId="168" fontId="14" fillId="0" borderId="0" xfId="0" applyNumberFormat="1" applyFont="1" applyAlignment="1">
      <alignment horizontal="center" vertical="center"/>
    </xf>
    <xf numFmtId="168" fontId="13" fillId="5" borderId="1" xfId="0" applyNumberFormat="1" applyFont="1" applyFill="1" applyBorder="1" applyAlignment="1">
      <alignment horizontal="center"/>
    </xf>
    <xf numFmtId="168" fontId="13" fillId="5" borderId="0" xfId="2" applyNumberFormat="1" applyFont="1" applyFill="1" applyAlignment="1">
      <alignment horizontal="center"/>
    </xf>
    <xf numFmtId="168" fontId="0" fillId="6" borderId="0" xfId="2" applyNumberFormat="1" applyFont="1" applyFill="1" applyAlignment="1">
      <alignment horizontal="center"/>
    </xf>
    <xf numFmtId="168" fontId="13" fillId="5" borderId="1" xfId="2" applyNumberFormat="1" applyFont="1" applyFill="1" applyBorder="1" applyAlignment="1">
      <alignment horizontal="center" vertical="center"/>
    </xf>
    <xf numFmtId="168" fontId="5" fillId="0" borderId="1" xfId="2" applyNumberFormat="1" applyFont="1" applyBorder="1" applyAlignment="1">
      <alignment horizontal="center"/>
    </xf>
    <xf numFmtId="168" fontId="0" fillId="0" borderId="0" xfId="2" applyNumberFormat="1" applyFont="1" applyFill="1" applyAlignment="1">
      <alignment horizontal="center"/>
    </xf>
    <xf numFmtId="168" fontId="13" fillId="5" borderId="1" xfId="0" applyNumberFormat="1" applyFont="1" applyFill="1" applyBorder="1" applyAlignment="1">
      <alignment horizontal="center" vertical="center"/>
    </xf>
    <xf numFmtId="168" fontId="5" fillId="0" borderId="1" xfId="2" applyNumberFormat="1" applyFont="1" applyBorder="1" applyAlignment="1">
      <alignment horizontal="center" vertical="center"/>
    </xf>
    <xf numFmtId="168" fontId="0" fillId="0" borderId="0" xfId="2" applyNumberFormat="1" applyFont="1" applyAlignment="1">
      <alignment horizontal="center"/>
    </xf>
    <xf numFmtId="168" fontId="0" fillId="0" borderId="1" xfId="2" applyNumberFormat="1" applyFont="1" applyBorder="1" applyAlignment="1">
      <alignment horizontal="center"/>
    </xf>
    <xf numFmtId="168" fontId="5" fillId="0" borderId="0" xfId="2" applyNumberFormat="1" applyFont="1" applyFill="1" applyAlignment="1">
      <alignment horizontal="center"/>
    </xf>
    <xf numFmtId="168" fontId="13" fillId="8" borderId="1" xfId="0" applyNumberFormat="1" applyFont="1" applyFill="1" applyBorder="1"/>
    <xf numFmtId="168" fontId="0" fillId="0" borderId="0" xfId="0" applyNumberFormat="1"/>
    <xf numFmtId="168" fontId="16" fillId="5" borderId="7" xfId="2" applyNumberFormat="1" applyFont="1" applyFill="1" applyBorder="1" applyAlignment="1">
      <alignment horizontal="center" vertical="center"/>
    </xf>
    <xf numFmtId="165" fontId="0" fillId="0" borderId="0" xfId="3" applyNumberFormat="1" applyFont="1" applyFill="1" applyAlignment="1">
      <alignment horizontal="center"/>
    </xf>
    <xf numFmtId="0" fontId="0" fillId="0" borderId="1" xfId="0" applyBorder="1" applyAlignment="1">
      <alignment horizontal="center"/>
    </xf>
    <xf numFmtId="0" fontId="13" fillId="9" borderId="6" xfId="0" applyFont="1" applyFill="1" applyBorder="1" applyAlignment="1">
      <alignment horizontal="center" vertical="center" wrapText="1"/>
    </xf>
    <xf numFmtId="0" fontId="13" fillId="9" borderId="8" xfId="0" applyFont="1" applyFill="1" applyBorder="1" applyAlignment="1">
      <alignment horizontal="center" vertical="center" wrapText="1"/>
    </xf>
    <xf numFmtId="168" fontId="0" fillId="4" borderId="0" xfId="0" applyNumberFormat="1" applyFont="1" applyFill="1" applyAlignment="1" applyProtection="1">
      <alignment horizontal="center"/>
      <protection locked="0"/>
    </xf>
    <xf numFmtId="168" fontId="0" fillId="4" borderId="1" xfId="0" applyNumberFormat="1" applyFont="1" applyFill="1" applyBorder="1" applyAlignment="1" applyProtection="1">
      <alignment horizontal="center"/>
      <protection locked="0"/>
    </xf>
    <xf numFmtId="14" fontId="0" fillId="4" borderId="0" xfId="0" applyNumberFormat="1" applyFill="1" applyBorder="1" applyAlignment="1" applyProtection="1">
      <alignment horizontal="center" vertical="center"/>
      <protection locked="0"/>
    </xf>
    <xf numFmtId="14" fontId="0" fillId="4" borderId="1" xfId="0" applyNumberFormat="1" applyFill="1" applyBorder="1" applyAlignment="1" applyProtection="1">
      <alignment horizontal="center" vertical="center"/>
      <protection locked="0"/>
    </xf>
    <xf numFmtId="170" fontId="0" fillId="4" borderId="1" xfId="0" applyNumberFormat="1" applyFill="1" applyBorder="1" applyAlignment="1" applyProtection="1">
      <alignment horizontal="center"/>
      <protection locked="0"/>
    </xf>
    <xf numFmtId="170" fontId="0" fillId="4" borderId="0" xfId="0" applyNumberFormat="1" applyFill="1" applyBorder="1" applyAlignment="1" applyProtection="1">
      <alignment horizontal="center"/>
      <protection locked="0"/>
    </xf>
    <xf numFmtId="0" fontId="0" fillId="0" borderId="0" xfId="0" applyAlignment="1">
      <alignment vertical="center"/>
    </xf>
    <xf numFmtId="0" fontId="0" fillId="0" borderId="0" xfId="0" applyAlignment="1">
      <alignment horizontal="left"/>
    </xf>
    <xf numFmtId="0" fontId="8" fillId="0" borderId="0" xfId="0" applyFont="1" applyAlignment="1">
      <alignment horizontal="left"/>
    </xf>
    <xf numFmtId="0" fontId="11" fillId="5" borderId="4" xfId="0" applyFont="1" applyFill="1" applyBorder="1" applyAlignment="1">
      <alignment horizontal="left"/>
    </xf>
    <xf numFmtId="0" fontId="5" fillId="0" borderId="5" xfId="0" applyFont="1" applyFill="1" applyBorder="1" applyAlignment="1">
      <alignment horizontal="left"/>
    </xf>
    <xf numFmtId="0" fontId="0" fillId="0" borderId="5" xfId="0" applyFont="1" applyFill="1" applyBorder="1" applyAlignment="1">
      <alignment horizontal="center"/>
    </xf>
    <xf numFmtId="164" fontId="0" fillId="0" borderId="1" xfId="2" applyNumberFormat="1" applyFont="1" applyBorder="1" applyAlignment="1">
      <alignment horizontal="left"/>
    </xf>
    <xf numFmtId="0" fontId="0" fillId="0" borderId="0" xfId="0" applyFont="1" applyAlignment="1">
      <alignment horizontal="left"/>
    </xf>
    <xf numFmtId="0" fontId="0" fillId="0" borderId="0" xfId="0" applyFont="1" applyAlignment="1">
      <alignment horizontal="center"/>
    </xf>
    <xf numFmtId="164" fontId="0" fillId="0" borderId="0" xfId="2" applyNumberFormat="1" applyFont="1" applyBorder="1" applyAlignment="1">
      <alignment horizontal="left" indent="1"/>
    </xf>
    <xf numFmtId="164" fontId="0" fillId="0" borderId="1" xfId="2" applyNumberFormat="1" applyFont="1" applyBorder="1" applyAlignment="1">
      <alignment horizontal="left" indent="1"/>
    </xf>
    <xf numFmtId="164" fontId="0" fillId="0" borderId="0" xfId="2" applyNumberFormat="1" applyFont="1" applyBorder="1" applyAlignment="1">
      <alignment horizontal="left"/>
    </xf>
    <xf numFmtId="0" fontId="5" fillId="0" borderId="9" xfId="0" applyFont="1" applyFill="1" applyBorder="1" applyAlignment="1">
      <alignment horizontal="left"/>
    </xf>
    <xf numFmtId="0" fontId="0" fillId="0" borderId="0" xfId="0" applyFont="1" applyBorder="1" applyAlignment="1">
      <alignment horizontal="center"/>
    </xf>
    <xf numFmtId="0" fontId="5" fillId="0" borderId="2" xfId="0" applyFont="1" applyBorder="1" applyAlignment="1">
      <alignment horizontal="left"/>
    </xf>
    <xf numFmtId="0" fontId="5" fillId="0" borderId="0" xfId="0" applyFont="1" applyAlignment="1">
      <alignment horizontal="left"/>
    </xf>
    <xf numFmtId="0" fontId="17" fillId="0" borderId="0" xfId="0" applyFont="1" applyAlignment="1">
      <alignment horizontal="center"/>
    </xf>
    <xf numFmtId="0" fontId="5" fillId="0" borderId="0" xfId="0" applyFont="1" applyFill="1" applyAlignment="1">
      <alignment horizontal="left"/>
    </xf>
    <xf numFmtId="168" fontId="5" fillId="0" borderId="3" xfId="0" applyNumberFormat="1" applyFont="1" applyBorder="1" applyAlignment="1">
      <alignment horizontal="left"/>
    </xf>
    <xf numFmtId="168" fontId="8" fillId="0" borderId="0" xfId="2" applyNumberFormat="1" applyFont="1" applyAlignment="1">
      <alignment horizontal="center"/>
    </xf>
    <xf numFmtId="168" fontId="11" fillId="5" borderId="5" xfId="0" applyNumberFormat="1" applyFont="1" applyFill="1" applyBorder="1" applyAlignment="1">
      <alignment horizontal="center"/>
    </xf>
    <xf numFmtId="0" fontId="11" fillId="5" borderId="5" xfId="0" applyFont="1" applyFill="1" applyBorder="1" applyAlignment="1">
      <alignment horizontal="center"/>
    </xf>
    <xf numFmtId="168" fontId="0" fillId="0" borderId="0" xfId="0" applyNumberFormat="1" applyFont="1" applyAlignment="1">
      <alignment horizontal="center"/>
    </xf>
    <xf numFmtId="168" fontId="0" fillId="0" borderId="0" xfId="0" applyNumberFormat="1" applyFont="1" applyBorder="1" applyAlignment="1">
      <alignment horizontal="center"/>
    </xf>
    <xf numFmtId="168" fontId="5" fillId="0" borderId="2" xfId="2" applyNumberFormat="1" applyFont="1" applyBorder="1" applyAlignment="1">
      <alignment horizontal="center"/>
    </xf>
    <xf numFmtId="168" fontId="5" fillId="0" borderId="3" xfId="0" applyNumberFormat="1" applyFont="1" applyBorder="1" applyAlignment="1">
      <alignment horizontal="center"/>
    </xf>
    <xf numFmtId="168" fontId="5" fillId="0" borderId="0" xfId="2" applyNumberFormat="1" applyFont="1" applyAlignment="1">
      <alignment horizontal="center"/>
    </xf>
    <xf numFmtId="168" fontId="0" fillId="0" borderId="5" xfId="2" applyNumberFormat="1" applyFont="1" applyFill="1" applyBorder="1" applyAlignment="1">
      <alignment horizontal="center"/>
    </xf>
    <xf numFmtId="170" fontId="0" fillId="4" borderId="5" xfId="0" applyNumberFormat="1" applyFill="1" applyBorder="1" applyAlignment="1" applyProtection="1">
      <alignment horizontal="center"/>
      <protection locked="0"/>
    </xf>
    <xf numFmtId="0" fontId="0" fillId="0" borderId="0" xfId="0" quotePrefix="1" applyAlignment="1">
      <alignment horizontal="center"/>
    </xf>
    <xf numFmtId="0" fontId="1" fillId="0" borderId="1" xfId="0" applyFont="1" applyFill="1" applyBorder="1"/>
    <xf numFmtId="0" fontId="10" fillId="0" borderId="0" xfId="0" applyFont="1" applyAlignment="1">
      <alignment horizontal="left"/>
    </xf>
    <xf numFmtId="0" fontId="1" fillId="0" borderId="1" xfId="0" applyFont="1" applyBorder="1"/>
    <xf numFmtId="14" fontId="0" fillId="3" borderId="0" xfId="0" applyNumberFormat="1" applyFill="1" applyBorder="1" applyAlignment="1" applyProtection="1">
      <alignment horizontal="left" vertical="center"/>
      <protection locked="0"/>
    </xf>
    <xf numFmtId="171" fontId="0" fillId="3" borderId="0" xfId="0" applyNumberFormat="1" applyFont="1" applyFill="1" applyBorder="1" applyAlignment="1" applyProtection="1">
      <alignment horizontal="left"/>
      <protection locked="0"/>
    </xf>
    <xf numFmtId="171" fontId="0" fillId="3" borderId="1" xfId="0" applyNumberFormat="1" applyFont="1" applyFill="1" applyBorder="1" applyAlignment="1" applyProtection="1">
      <alignment horizontal="left"/>
      <protection locked="0"/>
    </xf>
    <xf numFmtId="171" fontId="0" fillId="4" borderId="0" xfId="0" applyNumberFormat="1" applyFont="1" applyFill="1" applyBorder="1" applyAlignment="1" applyProtection="1">
      <alignment horizontal="left"/>
      <protection locked="0"/>
    </xf>
    <xf numFmtId="166" fontId="0" fillId="3" borderId="0" xfId="0" applyNumberFormat="1" applyFont="1" applyFill="1" applyBorder="1" applyAlignment="1" applyProtection="1">
      <alignment horizontal="left"/>
      <protection locked="0"/>
    </xf>
    <xf numFmtId="166" fontId="0" fillId="3" borderId="1" xfId="0" applyNumberFormat="1" applyFont="1" applyFill="1" applyBorder="1" applyAlignment="1" applyProtection="1">
      <alignment horizontal="left"/>
      <protection locked="0"/>
    </xf>
    <xf numFmtId="166" fontId="0" fillId="4" borderId="0" xfId="0" applyNumberFormat="1" applyFont="1" applyFill="1" applyBorder="1" applyAlignment="1" applyProtection="1">
      <alignment horizontal="left"/>
      <protection locked="0"/>
    </xf>
    <xf numFmtId="172" fontId="0" fillId="3" borderId="0" xfId="0" applyNumberFormat="1" applyFont="1" applyFill="1" applyBorder="1" applyAlignment="1" applyProtection="1">
      <alignment horizontal="left"/>
      <protection locked="0"/>
    </xf>
    <xf numFmtId="172" fontId="0" fillId="3" borderId="1" xfId="0" applyNumberFormat="1" applyFont="1" applyFill="1" applyBorder="1" applyAlignment="1" applyProtection="1">
      <alignment horizontal="left"/>
      <protection locked="0"/>
    </xf>
    <xf numFmtId="172" fontId="0" fillId="4" borderId="0" xfId="0" applyNumberFormat="1" applyFont="1" applyFill="1" applyBorder="1" applyAlignment="1" applyProtection="1">
      <alignment horizontal="left"/>
      <protection locked="0"/>
    </xf>
    <xf numFmtId="173" fontId="0" fillId="3" borderId="0" xfId="0" applyNumberFormat="1" applyFont="1" applyFill="1" applyProtection="1">
      <protection locked="0"/>
    </xf>
    <xf numFmtId="174" fontId="0" fillId="4" borderId="0" xfId="0" applyNumberFormat="1" applyFont="1" applyFill="1" applyBorder="1" applyAlignment="1" applyProtection="1">
      <alignment horizontal="left"/>
      <protection locked="0"/>
    </xf>
    <xf numFmtId="173" fontId="0" fillId="3" borderId="0" xfId="0" applyNumberFormat="1" applyFont="1" applyFill="1" applyBorder="1" applyAlignment="1" applyProtection="1">
      <alignment horizontal="left"/>
      <protection locked="0"/>
    </xf>
    <xf numFmtId="173" fontId="0" fillId="3" borderId="1" xfId="0" applyNumberFormat="1" applyFont="1" applyFill="1" applyBorder="1" applyAlignment="1" applyProtection="1">
      <alignment horizontal="left"/>
      <protection locked="0"/>
    </xf>
    <xf numFmtId="175" fontId="0" fillId="4" borderId="0" xfId="0" applyNumberFormat="1" applyFont="1" applyFill="1" applyProtection="1">
      <protection locked="0"/>
    </xf>
    <xf numFmtId="176" fontId="0" fillId="4" borderId="0" xfId="0" applyNumberFormat="1" applyFont="1" applyFill="1" applyProtection="1">
      <protection locked="0"/>
    </xf>
    <xf numFmtId="177" fontId="0" fillId="4" borderId="0" xfId="0" applyNumberFormat="1" applyFont="1" applyFill="1" applyProtection="1">
      <protection locked="0"/>
    </xf>
    <xf numFmtId="165" fontId="0" fillId="4" borderId="0" xfId="3" applyNumberFormat="1" applyFont="1" applyFill="1" applyProtection="1">
      <protection locked="0"/>
    </xf>
    <xf numFmtId="178" fontId="0" fillId="3" borderId="0" xfId="0" applyNumberFormat="1" applyFont="1" applyFill="1" applyBorder="1" applyAlignment="1" applyProtection="1">
      <alignment horizontal="left"/>
      <protection locked="0"/>
    </xf>
    <xf numFmtId="170" fontId="0" fillId="3" borderId="0" xfId="0" applyNumberFormat="1" applyFill="1" applyBorder="1" applyAlignment="1" applyProtection="1">
      <alignment horizontal="left"/>
      <protection locked="0"/>
    </xf>
    <xf numFmtId="0" fontId="3" fillId="2" borderId="1" xfId="0" applyFont="1" applyFill="1" applyBorder="1" applyAlignment="1">
      <alignment horizontal="left"/>
    </xf>
    <xf numFmtId="0" fontId="0" fillId="0" borderId="0" xfId="0" applyFont="1" applyFill="1" applyAlignment="1">
      <alignment horizontal="left"/>
    </xf>
    <xf numFmtId="0" fontId="1" fillId="0" borderId="0" xfId="0" applyFont="1" applyAlignment="1">
      <alignment horizontal="center"/>
    </xf>
    <xf numFmtId="0" fontId="10" fillId="0" borderId="0" xfId="0" applyFont="1" applyAlignment="1">
      <alignment horizontal="center"/>
    </xf>
    <xf numFmtId="0" fontId="0" fillId="0" borderId="1" xfId="0" applyFont="1" applyBorder="1" applyAlignment="1">
      <alignment horizontal="center"/>
    </xf>
    <xf numFmtId="0" fontId="0" fillId="0" borderId="0" xfId="0" applyFont="1" applyFill="1" applyAlignment="1">
      <alignment horizontal="center"/>
    </xf>
    <xf numFmtId="0" fontId="10" fillId="0" borderId="0" xfId="0" applyFont="1" applyAlignment="1">
      <alignment horizontal="center" wrapText="1"/>
    </xf>
    <xf numFmtId="0" fontId="8" fillId="0" borderId="0" xfId="0" applyFont="1" applyAlignment="1">
      <alignment horizontal="center" wrapText="1"/>
    </xf>
    <xf numFmtId="0" fontId="0" fillId="0" borderId="0" xfId="0" applyFont="1" applyAlignment="1">
      <alignment horizontal="center" wrapText="1"/>
    </xf>
    <xf numFmtId="0" fontId="9" fillId="2" borderId="1" xfId="0" applyFont="1" applyFill="1" applyBorder="1" applyAlignment="1">
      <alignment horizontal="center"/>
    </xf>
    <xf numFmtId="0" fontId="0" fillId="0" borderId="0" xfId="0" applyFont="1" applyFill="1" applyBorder="1" applyAlignment="1">
      <alignment horizontal="center"/>
    </xf>
    <xf numFmtId="0" fontId="0" fillId="6" borderId="0" xfId="0" applyFont="1" applyFill="1" applyBorder="1" applyAlignment="1">
      <alignment horizontal="center"/>
    </xf>
    <xf numFmtId="0" fontId="0" fillId="6" borderId="0" xfId="0" applyFont="1" applyFill="1" applyAlignment="1">
      <alignment horizontal="center"/>
    </xf>
    <xf numFmtId="0" fontId="0" fillId="6" borderId="0" xfId="0" applyFont="1" applyFill="1" applyAlignment="1">
      <alignment horizontal="center" wrapText="1"/>
    </xf>
    <xf numFmtId="0" fontId="0" fillId="0" borderId="1" xfId="0" applyFont="1" applyFill="1" applyBorder="1" applyAlignment="1">
      <alignment horizontal="center"/>
    </xf>
    <xf numFmtId="0" fontId="0" fillId="3" borderId="0" xfId="0" applyFont="1" applyFill="1" applyBorder="1" applyAlignment="1" applyProtection="1">
      <alignment horizontal="left"/>
      <protection locked="0"/>
    </xf>
    <xf numFmtId="181" fontId="0" fillId="3" borderId="0" xfId="0" applyNumberFormat="1" applyFont="1" applyFill="1" applyBorder="1" applyAlignment="1" applyProtection="1">
      <alignment horizontal="left"/>
      <protection locked="0"/>
    </xf>
    <xf numFmtId="165" fontId="0" fillId="3" borderId="0" xfId="3" applyNumberFormat="1" applyFont="1" applyFill="1" applyBorder="1" applyAlignment="1" applyProtection="1">
      <alignment horizontal="left"/>
      <protection locked="0"/>
    </xf>
    <xf numFmtId="180" fontId="0" fillId="3" borderId="0" xfId="0" applyNumberFormat="1" applyFont="1" applyFill="1" applyBorder="1" applyAlignment="1" applyProtection="1">
      <alignment horizontal="left"/>
      <protection locked="0"/>
    </xf>
    <xf numFmtId="179" fontId="0" fillId="3" borderId="0" xfId="0" applyNumberFormat="1" applyFont="1" applyFill="1" applyBorder="1" applyAlignment="1" applyProtection="1">
      <alignment horizontal="left"/>
      <protection locked="0"/>
    </xf>
    <xf numFmtId="182" fontId="0" fillId="3" borderId="0" xfId="0" applyNumberFormat="1" applyFont="1" applyFill="1" applyBorder="1" applyAlignment="1" applyProtection="1">
      <alignment horizontal="left"/>
      <protection locked="0"/>
    </xf>
    <xf numFmtId="183" fontId="0" fillId="3" borderId="0" xfId="0" applyNumberFormat="1" applyFont="1" applyFill="1" applyBorder="1" applyAlignment="1" applyProtection="1">
      <alignment horizontal="left"/>
      <protection locked="0"/>
    </xf>
    <xf numFmtId="184" fontId="0" fillId="4" borderId="0" xfId="0" applyNumberFormat="1" applyFont="1" applyFill="1" applyBorder="1" applyAlignment="1" applyProtection="1">
      <alignment horizontal="left"/>
      <protection locked="0"/>
    </xf>
    <xf numFmtId="185" fontId="0" fillId="4" borderId="0" xfId="0" applyNumberFormat="1" applyFont="1" applyFill="1" applyBorder="1" applyAlignment="1" applyProtection="1">
      <alignment horizontal="left"/>
      <protection locked="0"/>
    </xf>
    <xf numFmtId="179" fontId="0" fillId="4" borderId="0" xfId="0" applyNumberFormat="1" applyFont="1" applyFill="1" applyBorder="1" applyAlignment="1" applyProtection="1">
      <alignment horizontal="left"/>
      <protection locked="0"/>
    </xf>
    <xf numFmtId="180" fontId="0" fillId="4" borderId="0" xfId="0" applyNumberFormat="1" applyFont="1" applyFill="1" applyBorder="1" applyAlignment="1" applyProtection="1">
      <alignment horizontal="left"/>
      <protection locked="0"/>
    </xf>
    <xf numFmtId="169" fontId="0" fillId="4" borderId="0" xfId="0" applyNumberFormat="1" applyFont="1" applyFill="1" applyBorder="1" applyAlignment="1" applyProtection="1">
      <alignment horizontal="left"/>
      <protection locked="0"/>
    </xf>
    <xf numFmtId="186" fontId="0" fillId="3" borderId="0" xfId="0" applyNumberFormat="1" applyFont="1" applyFill="1" applyBorder="1" applyAlignment="1" applyProtection="1">
      <alignment horizontal="left"/>
      <protection locked="0"/>
    </xf>
    <xf numFmtId="174" fontId="0" fillId="3" borderId="0" xfId="0" applyNumberFormat="1" applyFont="1" applyFill="1" applyBorder="1" applyAlignment="1" applyProtection="1">
      <alignment horizontal="left"/>
      <protection locked="0"/>
    </xf>
    <xf numFmtId="187" fontId="0" fillId="3" borderId="0" xfId="0" applyNumberFormat="1" applyFont="1" applyFill="1" applyBorder="1" applyAlignment="1" applyProtection="1">
      <alignment horizontal="left"/>
      <protection locked="0"/>
    </xf>
    <xf numFmtId="184" fontId="0" fillId="3" borderId="0" xfId="0" applyNumberFormat="1" applyFont="1" applyFill="1" applyBorder="1" applyAlignment="1" applyProtection="1">
      <alignment horizontal="left"/>
      <protection locked="0"/>
    </xf>
    <xf numFmtId="188" fontId="0" fillId="3" borderId="0" xfId="0" applyNumberFormat="1" applyFont="1" applyFill="1" applyProtection="1">
      <protection locked="0"/>
    </xf>
    <xf numFmtId="169" fontId="0" fillId="3" borderId="0" xfId="0" applyNumberFormat="1" applyFont="1" applyFill="1" applyProtection="1">
      <protection locked="0"/>
    </xf>
    <xf numFmtId="180" fontId="0"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189" fontId="0" fillId="4" borderId="0" xfId="0" applyNumberFormat="1" applyFont="1" applyFill="1" applyProtection="1">
      <protection locked="0"/>
    </xf>
    <xf numFmtId="0" fontId="8" fillId="3" borderId="0" xfId="0" applyFont="1" applyFill="1" applyBorder="1" applyAlignment="1" applyProtection="1">
      <alignment horizontal="left"/>
      <protection locked="0"/>
    </xf>
    <xf numFmtId="190" fontId="0" fillId="3" borderId="0" xfId="0" applyNumberFormat="1" applyFont="1" applyFill="1" applyBorder="1" applyAlignment="1" applyProtection="1">
      <alignment horizontal="left"/>
      <protection locked="0"/>
    </xf>
    <xf numFmtId="190" fontId="0" fillId="3" borderId="1" xfId="0" applyNumberFormat="1" applyFont="1" applyFill="1" applyBorder="1" applyAlignment="1" applyProtection="1">
      <alignment horizontal="left"/>
      <protection locked="0"/>
    </xf>
    <xf numFmtId="190" fontId="0" fillId="4" borderId="0" xfId="0" applyNumberFormat="1" applyFont="1" applyFill="1" applyBorder="1" applyAlignment="1" applyProtection="1">
      <alignment horizontal="left"/>
      <protection locked="0"/>
    </xf>
    <xf numFmtId="191" fontId="0" fillId="3" borderId="0" xfId="0" applyNumberFormat="1" applyFont="1" applyFill="1" applyBorder="1" applyAlignment="1" applyProtection="1">
      <alignment horizontal="left"/>
      <protection locked="0"/>
    </xf>
    <xf numFmtId="191" fontId="0" fillId="3" borderId="1" xfId="0" applyNumberFormat="1" applyFont="1" applyFill="1" applyBorder="1" applyAlignment="1" applyProtection="1">
      <alignment horizontal="left"/>
      <protection locked="0"/>
    </xf>
    <xf numFmtId="191" fontId="0" fillId="4" borderId="0" xfId="0" applyNumberFormat="1" applyFont="1" applyFill="1" applyBorder="1" applyAlignment="1" applyProtection="1">
      <alignment horizontal="left"/>
      <protection locked="0"/>
    </xf>
    <xf numFmtId="192" fontId="0" fillId="3" borderId="0" xfId="0" applyNumberFormat="1" applyFont="1" applyFill="1" applyBorder="1" applyAlignment="1" applyProtection="1">
      <alignment horizontal="left"/>
      <protection locked="0"/>
    </xf>
    <xf numFmtId="192" fontId="0" fillId="3" borderId="1" xfId="0" applyNumberFormat="1" applyFont="1" applyFill="1" applyBorder="1" applyAlignment="1" applyProtection="1">
      <alignment horizontal="left"/>
      <protection locked="0"/>
    </xf>
    <xf numFmtId="192" fontId="0" fillId="4" borderId="0" xfId="0" applyNumberFormat="1" applyFont="1" applyFill="1" applyBorder="1" applyAlignment="1" applyProtection="1">
      <alignment horizontal="left"/>
      <protection locked="0"/>
    </xf>
    <xf numFmtId="193" fontId="0" fillId="3" borderId="0" xfId="0" applyNumberFormat="1" applyFont="1" applyFill="1" applyProtection="1">
      <protection locked="0"/>
    </xf>
    <xf numFmtId="194" fontId="0" fillId="3" borderId="0" xfId="0" applyNumberFormat="1" applyFont="1" applyFill="1" applyProtection="1">
      <protection locked="0"/>
    </xf>
    <xf numFmtId="193" fontId="0" fillId="3" borderId="1" xfId="0" applyNumberFormat="1" applyFont="1" applyFill="1" applyBorder="1" applyProtection="1">
      <protection locked="0"/>
    </xf>
    <xf numFmtId="194" fontId="0" fillId="3" borderId="1" xfId="0" applyNumberFormat="1" applyFont="1" applyFill="1" applyBorder="1" applyProtection="1">
      <protection locked="0"/>
    </xf>
    <xf numFmtId="195" fontId="0" fillId="4" borderId="0" xfId="0" applyNumberFormat="1" applyFont="1" applyFill="1" applyProtection="1">
      <protection locked="0"/>
    </xf>
    <xf numFmtId="170" fontId="0" fillId="4" borderId="0" xfId="0" applyNumberFormat="1" applyFont="1" applyFill="1" applyProtection="1">
      <protection locked="0"/>
    </xf>
    <xf numFmtId="0" fontId="0" fillId="10" borderId="0" xfId="0" applyFont="1" applyFill="1" applyBorder="1"/>
    <xf numFmtId="168" fontId="4" fillId="4" borderId="0" xfId="2" applyNumberFormat="1" applyFont="1" applyFill="1" applyBorder="1" applyAlignment="1" applyProtection="1">
      <alignment horizontal="center"/>
      <protection locked="0"/>
    </xf>
    <xf numFmtId="10" fontId="0" fillId="4" borderId="0" xfId="3" applyNumberFormat="1" applyFont="1" applyFill="1" applyBorder="1" applyAlignment="1" applyProtection="1">
      <alignment horizontal="center"/>
      <protection locked="0"/>
    </xf>
    <xf numFmtId="168" fontId="4" fillId="4" borderId="1" xfId="2" applyNumberFormat="1" applyFont="1" applyFill="1" applyBorder="1" applyAlignment="1" applyProtection="1">
      <alignment horizontal="center"/>
      <protection locked="0"/>
    </xf>
    <xf numFmtId="10" fontId="0" fillId="4" borderId="1" xfId="3" applyNumberFormat="1" applyFont="1" applyFill="1" applyBorder="1" applyAlignment="1" applyProtection="1">
      <alignment horizontal="center"/>
      <protection locked="0"/>
    </xf>
    <xf numFmtId="168" fontId="4" fillId="4" borderId="5" xfId="2" applyNumberFormat="1" applyFont="1" applyFill="1" applyBorder="1" applyAlignment="1" applyProtection="1">
      <alignment horizontal="center"/>
      <protection locked="0"/>
    </xf>
    <xf numFmtId="196" fontId="0" fillId="4" borderId="0" xfId="0" applyNumberFormat="1" applyFont="1" applyFill="1" applyBorder="1" applyAlignment="1" applyProtection="1">
      <alignment horizontal="left"/>
      <protection locked="0"/>
    </xf>
    <xf numFmtId="197" fontId="0" fillId="4" borderId="0" xfId="0" applyNumberFormat="1" applyFont="1" applyFill="1" applyProtection="1">
      <protection locked="0"/>
    </xf>
    <xf numFmtId="198" fontId="0" fillId="4" borderId="0" xfId="0" applyNumberFormat="1" applyFont="1" applyFill="1" applyProtection="1">
      <protection locked="0"/>
    </xf>
    <xf numFmtId="199" fontId="0" fillId="4" borderId="0" xfId="0" applyNumberFormat="1" applyFont="1" applyFill="1" applyProtection="1">
      <protection locked="0"/>
    </xf>
    <xf numFmtId="200" fontId="0" fillId="4" borderId="0" xfId="0" applyNumberFormat="1" applyFont="1" applyFill="1" applyProtection="1">
      <protection locked="0"/>
    </xf>
    <xf numFmtId="201" fontId="0" fillId="4" borderId="0" xfId="0" applyNumberFormat="1" applyFont="1" applyFill="1" applyProtection="1">
      <protection locked="0"/>
    </xf>
    <xf numFmtId="166" fontId="0" fillId="0" borderId="0" xfId="0" applyNumberFormat="1" applyFont="1" applyFill="1" applyProtection="1"/>
    <xf numFmtId="0" fontId="0" fillId="0" borderId="0" xfId="0" applyAlignment="1">
      <alignment wrapText="1"/>
    </xf>
    <xf numFmtId="0" fontId="3" fillId="2" borderId="1" xfId="0" applyFont="1" applyFill="1" applyBorder="1" applyAlignment="1">
      <alignment wrapText="1"/>
    </xf>
    <xf numFmtId="0" fontId="14" fillId="0" borderId="0" xfId="0" applyFont="1" applyAlignment="1">
      <alignment vertical="center" wrapText="1"/>
    </xf>
    <xf numFmtId="0" fontId="13" fillId="5" borderId="1" xfId="0" applyFont="1" applyFill="1" applyBorder="1" applyAlignment="1">
      <alignment wrapText="1"/>
    </xf>
    <xf numFmtId="0" fontId="15" fillId="0" borderId="0" xfId="0" applyFont="1" applyAlignment="1">
      <alignment wrapText="1"/>
    </xf>
    <xf numFmtId="0" fontId="0" fillId="0" borderId="0" xfId="0" applyBorder="1" applyAlignment="1">
      <alignment wrapText="1"/>
    </xf>
    <xf numFmtId="0" fontId="13" fillId="5" borderId="0" xfId="0" applyFont="1" applyFill="1" applyAlignment="1">
      <alignment wrapText="1"/>
    </xf>
    <xf numFmtId="0" fontId="0" fillId="6" borderId="0" xfId="0" applyFill="1" applyAlignment="1">
      <alignment wrapText="1"/>
    </xf>
    <xf numFmtId="0" fontId="13" fillId="5" borderId="1" xfId="0" applyFont="1" applyFill="1" applyBorder="1" applyAlignment="1">
      <alignment vertical="center" wrapText="1"/>
    </xf>
    <xf numFmtId="0" fontId="13" fillId="8" borderId="1" xfId="0" applyFont="1" applyFill="1" applyBorder="1" applyAlignment="1">
      <alignment wrapText="1"/>
    </xf>
    <xf numFmtId="0" fontId="13" fillId="8" borderId="1" xfId="0" applyFont="1" applyFill="1" applyBorder="1" applyAlignment="1">
      <alignment vertical="center" wrapText="1"/>
    </xf>
    <xf numFmtId="0" fontId="0" fillId="0" borderId="1" xfId="0" applyBorder="1" applyAlignment="1">
      <alignment wrapText="1"/>
    </xf>
    <xf numFmtId="0" fontId="13" fillId="8" borderId="0" xfId="0" applyFont="1" applyFill="1" applyAlignment="1">
      <alignment wrapText="1"/>
    </xf>
    <xf numFmtId="0" fontId="13" fillId="0" borderId="0" xfId="0" applyFont="1" applyAlignment="1">
      <alignment wrapText="1"/>
    </xf>
    <xf numFmtId="0" fontId="16" fillId="5" borderId="6" xfId="0" applyFont="1" applyFill="1" applyBorder="1" applyAlignment="1">
      <alignment vertical="center" wrapText="1"/>
    </xf>
    <xf numFmtId="168" fontId="0" fillId="4" borderId="0" xfId="0" applyNumberFormat="1" applyFont="1" applyFill="1" applyBorder="1" applyAlignment="1" applyProtection="1">
      <alignment horizontal="center"/>
      <protection locked="0"/>
    </xf>
    <xf numFmtId="168" fontId="0" fillId="0" borderId="0" xfId="2" applyNumberFormat="1" applyFont="1" applyBorder="1" applyAlignment="1">
      <alignment horizontal="center"/>
    </xf>
    <xf numFmtId="168" fontId="14" fillId="0" borderId="12" xfId="0" applyNumberFormat="1" applyFont="1" applyBorder="1" applyAlignment="1">
      <alignment horizontal="center" vertical="center"/>
    </xf>
    <xf numFmtId="168" fontId="14" fillId="0" borderId="0" xfId="0" applyNumberFormat="1" applyFont="1" applyBorder="1" applyAlignment="1">
      <alignment horizontal="center" vertical="center"/>
    </xf>
    <xf numFmtId="168" fontId="14" fillId="0" borderId="13" xfId="0" applyNumberFormat="1" applyFont="1" applyBorder="1" applyAlignment="1">
      <alignment horizontal="center" vertical="center"/>
    </xf>
    <xf numFmtId="168" fontId="13" fillId="5" borderId="10" xfId="0" applyNumberFormat="1" applyFont="1" applyFill="1" applyBorder="1" applyAlignment="1">
      <alignment horizontal="center"/>
    </xf>
    <xf numFmtId="168" fontId="13" fillId="5" borderId="11" xfId="0" applyNumberFormat="1" applyFont="1" applyFill="1" applyBorder="1" applyAlignment="1">
      <alignment horizontal="center"/>
    </xf>
    <xf numFmtId="168" fontId="0" fillId="4" borderId="12" xfId="0" applyNumberFormat="1" applyFont="1" applyFill="1" applyBorder="1" applyAlignment="1" applyProtection="1">
      <alignment horizontal="center"/>
      <protection locked="0"/>
    </xf>
    <xf numFmtId="168" fontId="0" fillId="4" borderId="13" xfId="0" applyNumberFormat="1" applyFont="1" applyFill="1" applyBorder="1" applyAlignment="1" applyProtection="1">
      <alignment horizontal="center"/>
      <protection locked="0"/>
    </xf>
    <xf numFmtId="0" fontId="0" fillId="0" borderId="12" xfId="0" applyBorder="1"/>
    <xf numFmtId="0" fontId="0" fillId="0" borderId="13" xfId="0" applyBorder="1"/>
    <xf numFmtId="168" fontId="13" fillId="5" borderId="12" xfId="2" applyNumberFormat="1" applyFont="1" applyFill="1" applyBorder="1" applyAlignment="1">
      <alignment horizontal="center"/>
    </xf>
    <xf numFmtId="168" fontId="13" fillId="5" borderId="0" xfId="2" applyNumberFormat="1" applyFont="1" applyFill="1" applyBorder="1" applyAlignment="1">
      <alignment horizontal="center"/>
    </xf>
    <xf numFmtId="168" fontId="13" fillId="5" borderId="13" xfId="2" applyNumberFormat="1" applyFont="1" applyFill="1" applyBorder="1" applyAlignment="1">
      <alignment horizontal="center"/>
    </xf>
    <xf numFmtId="168" fontId="0" fillId="6" borderId="12" xfId="2" applyNumberFormat="1" applyFont="1" applyFill="1" applyBorder="1" applyAlignment="1">
      <alignment horizontal="center"/>
    </xf>
    <xf numFmtId="168" fontId="0" fillId="6" borderId="0" xfId="2" applyNumberFormat="1" applyFont="1" applyFill="1" applyBorder="1" applyAlignment="1">
      <alignment horizontal="center"/>
    </xf>
    <xf numFmtId="168" fontId="0" fillId="6" borderId="13" xfId="2" applyNumberFormat="1" applyFont="1" applyFill="1" applyBorder="1" applyAlignment="1">
      <alignment horizontal="center"/>
    </xf>
    <xf numFmtId="168" fontId="13" fillId="5" borderId="10" xfId="2" applyNumberFormat="1" applyFont="1" applyFill="1" applyBorder="1" applyAlignment="1">
      <alignment horizontal="center" vertical="center"/>
    </xf>
    <xf numFmtId="168" fontId="13" fillId="5" borderId="11" xfId="2" applyNumberFormat="1" applyFont="1" applyFill="1" applyBorder="1" applyAlignment="1">
      <alignment horizontal="center" vertical="center"/>
    </xf>
    <xf numFmtId="168" fontId="5" fillId="0" borderId="10" xfId="2" applyNumberFormat="1" applyFont="1" applyBorder="1" applyAlignment="1">
      <alignment horizontal="center"/>
    </xf>
    <xf numFmtId="168" fontId="5" fillId="0" borderId="11" xfId="2" applyNumberFormat="1" applyFont="1" applyBorder="1" applyAlignment="1">
      <alignment horizontal="center"/>
    </xf>
    <xf numFmtId="168" fontId="0" fillId="0" borderId="12" xfId="2" applyNumberFormat="1" applyFont="1" applyFill="1" applyBorder="1" applyAlignment="1">
      <alignment horizontal="center"/>
    </xf>
    <xf numFmtId="168" fontId="0" fillId="0" borderId="0" xfId="2" applyNumberFormat="1" applyFont="1" applyFill="1" applyBorder="1" applyAlignment="1">
      <alignment horizontal="center"/>
    </xf>
    <xf numFmtId="168" fontId="0" fillId="0" borderId="13" xfId="2" applyNumberFormat="1" applyFont="1" applyFill="1" applyBorder="1" applyAlignment="1">
      <alignment horizontal="center"/>
    </xf>
    <xf numFmtId="168" fontId="13" fillId="5" borderId="10" xfId="0" applyNumberFormat="1" applyFont="1" applyFill="1" applyBorder="1" applyAlignment="1">
      <alignment horizontal="center" vertical="center"/>
    </xf>
    <xf numFmtId="168" fontId="13" fillId="5" borderId="11" xfId="0" applyNumberFormat="1" applyFont="1" applyFill="1" applyBorder="1" applyAlignment="1">
      <alignment horizontal="center" vertical="center"/>
    </xf>
    <xf numFmtId="168" fontId="5" fillId="0" borderId="10" xfId="2" applyNumberFormat="1" applyFont="1" applyBorder="1" applyAlignment="1">
      <alignment horizontal="center" vertical="center"/>
    </xf>
    <xf numFmtId="168" fontId="5" fillId="0" borderId="11" xfId="2" applyNumberFormat="1" applyFont="1" applyBorder="1" applyAlignment="1">
      <alignment horizontal="center" vertical="center"/>
    </xf>
    <xf numFmtId="168" fontId="0" fillId="0" borderId="12" xfId="2" applyNumberFormat="1" applyFont="1" applyBorder="1" applyAlignment="1">
      <alignment horizontal="center"/>
    </xf>
    <xf numFmtId="168" fontId="0" fillId="0" borderId="13" xfId="2" applyNumberFormat="1" applyFont="1" applyBorder="1" applyAlignment="1">
      <alignment horizontal="center"/>
    </xf>
    <xf numFmtId="168" fontId="0" fillId="4" borderId="10" xfId="0" applyNumberFormat="1" applyFont="1" applyFill="1" applyBorder="1" applyAlignment="1" applyProtection="1">
      <alignment horizontal="center"/>
      <protection locked="0"/>
    </xf>
    <xf numFmtId="168" fontId="0" fillId="4" borderId="11" xfId="0" applyNumberFormat="1" applyFont="1" applyFill="1" applyBorder="1" applyAlignment="1" applyProtection="1">
      <alignment horizontal="center"/>
      <protection locked="0"/>
    </xf>
    <xf numFmtId="165" fontId="0" fillId="0" borderId="12" xfId="3" applyNumberFormat="1" applyFont="1" applyFill="1" applyBorder="1" applyAlignment="1">
      <alignment horizontal="center"/>
    </xf>
    <xf numFmtId="165" fontId="0" fillId="0" borderId="0" xfId="3" applyNumberFormat="1" applyFont="1" applyFill="1" applyBorder="1" applyAlignment="1">
      <alignment horizontal="center"/>
    </xf>
    <xf numFmtId="165" fontId="0" fillId="0" borderId="13" xfId="3" applyNumberFormat="1" applyFont="1" applyFill="1" applyBorder="1" applyAlignment="1">
      <alignment horizontal="center"/>
    </xf>
    <xf numFmtId="168" fontId="0" fillId="0" borderId="10" xfId="2" applyNumberFormat="1" applyFont="1" applyBorder="1" applyAlignment="1">
      <alignment horizontal="center"/>
    </xf>
    <xf numFmtId="168" fontId="0" fillId="0" borderId="11" xfId="2" applyNumberFormat="1" applyFont="1" applyBorder="1" applyAlignment="1">
      <alignment horizontal="center"/>
    </xf>
    <xf numFmtId="168" fontId="5" fillId="0" borderId="12" xfId="2" applyNumberFormat="1" applyFont="1" applyFill="1" applyBorder="1" applyAlignment="1">
      <alignment horizontal="center"/>
    </xf>
    <xf numFmtId="168" fontId="5" fillId="0" borderId="0" xfId="2" applyNumberFormat="1" applyFont="1" applyFill="1" applyBorder="1" applyAlignment="1">
      <alignment horizontal="center"/>
    </xf>
    <xf numFmtId="168" fontId="5" fillId="0" borderId="13" xfId="2" applyNumberFormat="1" applyFont="1" applyFill="1" applyBorder="1" applyAlignment="1">
      <alignment horizontal="center"/>
    </xf>
    <xf numFmtId="168" fontId="13" fillId="8" borderId="10" xfId="0" applyNumberFormat="1" applyFont="1" applyFill="1" applyBorder="1"/>
    <xf numFmtId="168" fontId="13" fillId="8" borderId="11" xfId="0" applyNumberFormat="1" applyFont="1" applyFill="1" applyBorder="1"/>
    <xf numFmtId="168" fontId="0" fillId="0" borderId="12" xfId="0" applyNumberFormat="1" applyBorder="1"/>
    <xf numFmtId="168" fontId="0" fillId="0" borderId="0" xfId="0" applyNumberFormat="1" applyBorder="1"/>
    <xf numFmtId="168" fontId="0" fillId="0" borderId="13" xfId="0" applyNumberFormat="1" applyBorder="1"/>
    <xf numFmtId="168" fontId="16" fillId="5" borderId="14" xfId="2" applyNumberFormat="1" applyFont="1" applyFill="1" applyBorder="1" applyAlignment="1">
      <alignment horizontal="center" vertical="center"/>
    </xf>
    <xf numFmtId="168" fontId="16" fillId="5" borderId="15" xfId="2" applyNumberFormat="1" applyFont="1" applyFill="1" applyBorder="1" applyAlignment="1">
      <alignment horizontal="center" vertical="center"/>
    </xf>
    <xf numFmtId="168" fontId="16" fillId="5" borderId="16" xfId="2" applyNumberFormat="1" applyFont="1" applyFill="1" applyBorder="1" applyAlignment="1">
      <alignment horizontal="center" vertical="center"/>
    </xf>
    <xf numFmtId="168" fontId="0" fillId="4" borderId="18" xfId="0" applyNumberFormat="1" applyFont="1" applyFill="1" applyBorder="1" applyAlignment="1" applyProtection="1">
      <alignment horizontal="center"/>
      <protection locked="0"/>
    </xf>
    <xf numFmtId="0" fontId="3" fillId="2" borderId="1" xfId="0" applyFont="1" applyFill="1" applyBorder="1" applyAlignment="1">
      <alignment horizontal="center"/>
    </xf>
    <xf numFmtId="168" fontId="5" fillId="0" borderId="1" xfId="2" applyNumberFormat="1" applyFont="1" applyBorder="1" applyAlignment="1" applyProtection="1">
      <alignment horizontal="center"/>
    </xf>
    <xf numFmtId="168" fontId="0" fillId="6" borderId="0" xfId="0" applyNumberFormat="1" applyFont="1" applyFill="1" applyAlignment="1" applyProtection="1">
      <alignment horizontal="center"/>
    </xf>
    <xf numFmtId="168" fontId="5" fillId="0" borderId="1" xfId="2" applyNumberFormat="1" applyFont="1" applyBorder="1" applyAlignment="1" applyProtection="1">
      <alignment horizontal="center" vertical="center"/>
    </xf>
    <xf numFmtId="168" fontId="0" fillId="0" borderId="0" xfId="2" applyNumberFormat="1" applyFont="1" applyFill="1" applyAlignment="1" applyProtection="1">
      <alignment horizontal="center"/>
    </xf>
    <xf numFmtId="168" fontId="5" fillId="0" borderId="19" xfId="2" applyNumberFormat="1" applyFont="1" applyBorder="1" applyAlignment="1" applyProtection="1">
      <alignment horizontal="center" vertical="center"/>
    </xf>
    <xf numFmtId="168" fontId="0" fillId="0" borderId="0" xfId="2" applyNumberFormat="1" applyFont="1" applyAlignment="1" applyProtection="1">
      <alignment horizontal="center"/>
    </xf>
    <xf numFmtId="165" fontId="0" fillId="0" borderId="0" xfId="3" applyNumberFormat="1" applyFont="1" applyFill="1" applyAlignment="1" applyProtection="1">
      <alignment horizontal="center"/>
    </xf>
    <xf numFmtId="168" fontId="0" fillId="0" borderId="1" xfId="2" applyNumberFormat="1" applyFont="1" applyBorder="1" applyAlignment="1" applyProtection="1">
      <alignment horizontal="center"/>
    </xf>
    <xf numFmtId="168" fontId="13" fillId="5" borderId="0" xfId="2" applyNumberFormat="1" applyFont="1" applyFill="1" applyAlignment="1" applyProtection="1">
      <alignment horizontal="center"/>
    </xf>
    <xf numFmtId="168" fontId="5" fillId="0" borderId="19" xfId="2" applyNumberFormat="1" applyFont="1" applyBorder="1" applyAlignment="1" applyProtection="1">
      <alignment horizontal="center"/>
    </xf>
    <xf numFmtId="168" fontId="5" fillId="0" borderId="0" xfId="2" applyNumberFormat="1" applyFont="1" applyFill="1" applyAlignment="1" applyProtection="1">
      <alignment horizontal="center"/>
    </xf>
    <xf numFmtId="168" fontId="0" fillId="0" borderId="0" xfId="0" applyNumberFormat="1" applyAlignment="1" applyProtection="1">
      <alignment horizontal="center"/>
    </xf>
    <xf numFmtId="0" fontId="3" fillId="2" borderId="1" xfId="0" applyFont="1" applyFill="1" applyBorder="1" applyAlignment="1" applyProtection="1"/>
    <xf numFmtId="168" fontId="14" fillId="0" borderId="0" xfId="0" applyNumberFormat="1" applyFont="1" applyAlignment="1" applyProtection="1">
      <alignment horizontal="center" vertical="center"/>
    </xf>
    <xf numFmtId="168" fontId="13" fillId="5" borderId="1" xfId="0" applyNumberFormat="1" applyFont="1" applyFill="1" applyBorder="1" applyAlignment="1" applyProtection="1">
      <alignment horizontal="center"/>
    </xf>
    <xf numFmtId="0" fontId="0" fillId="0" borderId="0" xfId="0" applyBorder="1" applyProtection="1"/>
    <xf numFmtId="168" fontId="0" fillId="6" borderId="0" xfId="2" applyNumberFormat="1" applyFont="1" applyFill="1" applyAlignment="1" applyProtection="1">
      <alignment horizontal="center"/>
    </xf>
    <xf numFmtId="168" fontId="13" fillId="5" borderId="1" xfId="2" applyNumberFormat="1" applyFont="1" applyFill="1" applyBorder="1" applyAlignment="1" applyProtection="1">
      <alignment horizontal="center" vertical="center"/>
    </xf>
    <xf numFmtId="168" fontId="13" fillId="5" borderId="1" xfId="0" applyNumberFormat="1" applyFont="1" applyFill="1" applyBorder="1" applyAlignment="1" applyProtection="1">
      <alignment horizontal="center" vertical="center"/>
    </xf>
    <xf numFmtId="168" fontId="5" fillId="6" borderId="19" xfId="0" applyNumberFormat="1" applyFont="1" applyFill="1" applyBorder="1" applyAlignment="1" applyProtection="1">
      <alignment horizontal="center"/>
    </xf>
    <xf numFmtId="168" fontId="13" fillId="8" borderId="1" xfId="0" applyNumberFormat="1" applyFont="1" applyFill="1" applyBorder="1" applyProtection="1"/>
    <xf numFmtId="168" fontId="0" fillId="0" borderId="0" xfId="0" applyNumberFormat="1" applyProtection="1"/>
    <xf numFmtId="168" fontId="16" fillId="5" borderId="7" xfId="2" applyNumberFormat="1" applyFont="1" applyFill="1" applyBorder="1" applyAlignment="1" applyProtection="1">
      <alignment horizontal="center" vertical="center"/>
    </xf>
    <xf numFmtId="0" fontId="0" fillId="6" borderId="0" xfId="0" applyFont="1" applyFill="1"/>
    <xf numFmtId="0" fontId="0" fillId="6" borderId="1" xfId="0" applyFont="1" applyFill="1" applyBorder="1"/>
    <xf numFmtId="0" fontId="0" fillId="0" borderId="0" xfId="0" applyAlignment="1"/>
    <xf numFmtId="0" fontId="20" fillId="4" borderId="0" xfId="0" applyFont="1" applyFill="1" applyAlignment="1">
      <alignment horizontal="justify" vertical="center"/>
    </xf>
    <xf numFmtId="0" fontId="20" fillId="7" borderId="0" xfId="0" applyFont="1" applyFill="1" applyAlignment="1">
      <alignment horizontal="justify" vertical="center"/>
    </xf>
    <xf numFmtId="0" fontId="20" fillId="6" borderId="0" xfId="0" applyFont="1" applyFill="1" applyAlignment="1">
      <alignment vertical="center" wrapText="1"/>
    </xf>
    <xf numFmtId="0" fontId="0" fillId="6" borderId="0" xfId="0" applyFill="1" applyAlignment="1">
      <alignment horizontal="justify" vertical="center"/>
    </xf>
    <xf numFmtId="0" fontId="0" fillId="6" borderId="0" xfId="0" applyFill="1"/>
    <xf numFmtId="0" fontId="0" fillId="6" borderId="0" xfId="0" applyFill="1" applyAlignment="1"/>
    <xf numFmtId="0" fontId="23" fillId="6" borderId="0" xfId="0" applyFont="1" applyFill="1" applyBorder="1" applyAlignment="1">
      <alignment horizontal="justify" vertical="center" wrapText="1"/>
    </xf>
    <xf numFmtId="0" fontId="0" fillId="6" borderId="0" xfId="0" applyFont="1" applyFill="1" applyBorder="1" applyAlignment="1">
      <alignment horizontal="justify" vertical="center" wrapText="1"/>
    </xf>
    <xf numFmtId="0" fontId="0" fillId="6" borderId="0" xfId="0" applyFill="1" applyBorder="1" applyAlignment="1">
      <alignment horizontal="center"/>
    </xf>
    <xf numFmtId="0" fontId="0" fillId="6" borderId="1" xfId="0" applyFill="1" applyBorder="1" applyAlignment="1">
      <alignment horizontal="center"/>
    </xf>
    <xf numFmtId="0" fontId="0" fillId="6" borderId="0" xfId="0" applyFill="1" applyAlignment="1">
      <alignment vertical="center"/>
    </xf>
    <xf numFmtId="0" fontId="25" fillId="5" borderId="0" xfId="0" applyFont="1" applyFill="1" applyAlignment="1">
      <alignment vertical="center"/>
    </xf>
    <xf numFmtId="168" fontId="0" fillId="6" borderId="0" xfId="0" applyNumberFormat="1" applyFont="1" applyFill="1" applyAlignment="1" applyProtection="1">
      <alignment horizontal="center"/>
      <protection locked="0"/>
    </xf>
    <xf numFmtId="168" fontId="0" fillId="6" borderId="12" xfId="0" applyNumberFormat="1" applyFont="1" applyFill="1" applyBorder="1" applyAlignment="1" applyProtection="1">
      <alignment horizontal="center"/>
      <protection locked="0"/>
    </xf>
    <xf numFmtId="168" fontId="0" fillId="6" borderId="0" xfId="0" applyNumberFormat="1" applyFont="1" applyFill="1" applyBorder="1" applyAlignment="1" applyProtection="1">
      <alignment horizontal="center"/>
      <protection locked="0"/>
    </xf>
    <xf numFmtId="168" fontId="0" fillId="6" borderId="13" xfId="0" applyNumberFormat="1" applyFont="1" applyFill="1" applyBorder="1" applyAlignment="1" applyProtection="1">
      <alignment horizontal="center"/>
      <protection locked="0"/>
    </xf>
    <xf numFmtId="0" fontId="26" fillId="5" borderId="0" xfId="0" applyFont="1" applyFill="1" applyBorder="1" applyAlignment="1">
      <alignment horizontal="justify" vertical="center"/>
    </xf>
    <xf numFmtId="0" fontId="27" fillId="5" borderId="0" xfId="0" applyFont="1" applyFill="1" applyBorder="1" applyAlignment="1">
      <alignment horizontal="justify" vertical="center"/>
    </xf>
    <xf numFmtId="0" fontId="21" fillId="6" borderId="0" xfId="0" applyFont="1" applyFill="1" applyBorder="1" applyAlignment="1">
      <alignment horizontal="justify" vertical="center" wrapText="1"/>
    </xf>
    <xf numFmtId="0" fontId="0" fillId="6" borderId="0" xfId="0" applyFill="1" applyAlignment="1">
      <alignment vertical="center" wrapText="1"/>
    </xf>
    <xf numFmtId="0" fontId="0" fillId="0" borderId="0" xfId="0" applyAlignment="1">
      <alignment vertical="center" wrapText="1"/>
    </xf>
    <xf numFmtId="0" fontId="0" fillId="11" borderId="0" xfId="0" applyFont="1" applyFill="1" applyBorder="1" applyAlignment="1">
      <alignment horizontal="left" vertical="top" wrapText="1"/>
    </xf>
    <xf numFmtId="0" fontId="0" fillId="11" borderId="0" xfId="0" applyFont="1" applyFill="1" applyBorder="1" applyAlignment="1">
      <alignment horizontal="justify" vertical="top" wrapText="1"/>
    </xf>
    <xf numFmtId="0" fontId="20" fillId="11" borderId="0" xfId="0" applyFont="1" applyFill="1" applyBorder="1" applyAlignment="1">
      <alignment horizontal="justify" vertical="top" wrapText="1"/>
    </xf>
    <xf numFmtId="0" fontId="23" fillId="11" borderId="0" xfId="0" applyFont="1" applyFill="1" applyBorder="1" applyAlignment="1">
      <alignment vertical="top" wrapText="1"/>
    </xf>
    <xf numFmtId="0" fontId="0" fillId="6" borderId="0" xfId="0" applyFont="1" applyFill="1" applyBorder="1" applyAlignment="1">
      <alignment horizontal="justify" vertical="top" wrapText="1"/>
    </xf>
    <xf numFmtId="0" fontId="21" fillId="0" borderId="0" xfId="0" applyFont="1" applyAlignment="1">
      <alignment vertical="center" wrapText="1"/>
    </xf>
    <xf numFmtId="164" fontId="0" fillId="4" borderId="0" xfId="2" applyNumberFormat="1" applyFont="1" applyFill="1" applyBorder="1" applyAlignment="1" applyProtection="1">
      <alignment horizontal="left" indent="1"/>
      <protection locked="0"/>
    </xf>
    <xf numFmtId="164" fontId="0" fillId="4" borderId="1" xfId="2" applyNumberFormat="1" applyFont="1" applyFill="1" applyBorder="1" applyAlignment="1" applyProtection="1">
      <alignment horizontal="left" indent="1"/>
      <protection locked="0"/>
    </xf>
    <xf numFmtId="0" fontId="0" fillId="0" borderId="20" xfId="0" applyFont="1" applyBorder="1" applyAlignment="1">
      <alignment horizontal="center"/>
    </xf>
    <xf numFmtId="168" fontId="5" fillId="0" borderId="5" xfId="2" applyNumberFormat="1" applyFont="1" applyFill="1" applyBorder="1" applyAlignment="1">
      <alignment horizontal="center"/>
    </xf>
    <xf numFmtId="0" fontId="10" fillId="0" borderId="0" xfId="0" applyFont="1" applyAlignment="1">
      <alignment horizontal="left" wrapText="1"/>
    </xf>
    <xf numFmtId="0" fontId="3" fillId="2" borderId="1"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0" fillId="4" borderId="0" xfId="0" applyFont="1" applyFill="1" applyBorder="1" applyAlignment="1" applyProtection="1">
      <alignment horizontal="center"/>
      <protection locked="0"/>
    </xf>
    <xf numFmtId="168" fontId="5" fillId="0" borderId="5" xfId="2" applyNumberFormat="1" applyFont="1" applyFill="1" applyBorder="1" applyAlignment="1">
      <alignment horizontal="center"/>
    </xf>
    <xf numFmtId="0" fontId="0" fillId="4" borderId="20" xfId="0" applyFont="1" applyFill="1" applyBorder="1" applyAlignment="1" applyProtection="1">
      <alignment horizontal="center"/>
      <protection locked="0"/>
    </xf>
    <xf numFmtId="0" fontId="10" fillId="0" borderId="0" xfId="0" applyFont="1" applyAlignment="1">
      <alignment horizontal="left" wrapText="1"/>
    </xf>
  </cellXfs>
  <cellStyles count="4">
    <cellStyle name="Currency" xfId="2" builtinId="4"/>
    <cellStyle name="Normal" xfId="0" builtinId="0"/>
    <cellStyle name="Normal 2" xfId="1" xr:uid="{AA2AB5E7-4172-4909-8590-EBE7A6D5E0E7}"/>
    <cellStyle name="Percent" xfId="3" builtinId="5"/>
  </cellStyles>
  <dxfs count="0"/>
  <tableStyles count="0" defaultTableStyle="TableStyleMedium2" defaultPivotStyle="PivotStyleLight16"/>
  <colors>
    <mruColors>
      <color rgb="FFE3E7ED"/>
      <color rgb="FFCCE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AF5C-B792-42C1-91B6-B9F7B4AEC589}">
  <sheetPr codeName="Sheet1"/>
  <dimension ref="A1:C1048"/>
  <sheetViews>
    <sheetView workbookViewId="0"/>
  </sheetViews>
  <sheetFormatPr defaultRowHeight="14.5" x14ac:dyDescent="0.35"/>
  <cols>
    <col min="1" max="1" width="52.26953125" customWidth="1"/>
    <col min="2" max="2" width="19" style="69" customWidth="1"/>
  </cols>
  <sheetData>
    <row r="1" spans="1:2" x14ac:dyDescent="0.35">
      <c r="A1" s="77" t="s">
        <v>0</v>
      </c>
      <c r="B1" s="69" t="str">
        <f>IF(Development_Assumptions!D6="Yes","Yes","No")</f>
        <v>No</v>
      </c>
    </row>
    <row r="2" spans="1:2" x14ac:dyDescent="0.35">
      <c r="A2" s="77" t="s">
        <v>1</v>
      </c>
      <c r="B2" s="69" t="str">
        <f>IF(Development_Assumptions!D7="Yes","Yes","No")</f>
        <v>No</v>
      </c>
    </row>
    <row r="3" spans="1:2" x14ac:dyDescent="0.35">
      <c r="A3" s="77" t="s">
        <v>2</v>
      </c>
      <c r="B3" s="69" t="str">
        <f>IF(Development_Assumptions!D8="Yes","Yes","No")</f>
        <v>No</v>
      </c>
    </row>
    <row r="4" spans="1:2" x14ac:dyDescent="0.35">
      <c r="A4" s="77" t="s">
        <v>3</v>
      </c>
      <c r="B4" s="69" t="str">
        <f>IF(Development_Assumptions!D9="Yes","Yes","No")</f>
        <v>No</v>
      </c>
    </row>
    <row r="5" spans="1:2" x14ac:dyDescent="0.35">
      <c r="A5" s="77" t="s">
        <v>4</v>
      </c>
      <c r="B5" s="69" t="str">
        <f>IF(Development_Assumptions!D10="Yes","Yes","No")</f>
        <v>No</v>
      </c>
    </row>
    <row r="6" spans="1:2" x14ac:dyDescent="0.35">
      <c r="A6" s="77" t="s">
        <v>5</v>
      </c>
      <c r="B6" s="69" t="str">
        <f>IF(Development_Assumptions!D11="Yes","Yes","No")</f>
        <v>No</v>
      </c>
    </row>
    <row r="7" spans="1:2" x14ac:dyDescent="0.35">
      <c r="A7" s="77" t="s">
        <v>6</v>
      </c>
      <c r="B7" s="69" t="str">
        <f>IF(COUNTIFS($B$1:$B$5,"yes")&gt;1=TRUE,"Mixed Use","Single Use")</f>
        <v>Single Use</v>
      </c>
    </row>
    <row r="8" spans="1:2" x14ac:dyDescent="0.35">
      <c r="A8" s="77" t="s">
        <v>7</v>
      </c>
      <c r="B8" s="69" t="str">
        <f>IF(OR(Development_Assumptions!D15="10-00-000-000-0000",Development_Assumptions!D15=""),"",Development_Assumptions!D15)</f>
        <v/>
      </c>
    </row>
    <row r="9" spans="1:2" x14ac:dyDescent="0.35">
      <c r="A9" s="77" t="s">
        <v>8</v>
      </c>
      <c r="B9" s="69" t="str">
        <f>IF(OR(Development_Assumptions!D16="10-00-000-000-0000",Development_Assumptions!D16=""),"",Development_Assumptions!D16)</f>
        <v/>
      </c>
    </row>
    <row r="10" spans="1:2" x14ac:dyDescent="0.35">
      <c r="A10" s="77" t="s">
        <v>9</v>
      </c>
      <c r="B10" s="69" t="str">
        <f>IF(OR(Development_Assumptions!D17="10-00-000-000-0000",Development_Assumptions!D17=""),"",Development_Assumptions!D17)</f>
        <v/>
      </c>
    </row>
    <row r="11" spans="1:2" x14ac:dyDescent="0.35">
      <c r="A11" s="77" t="s">
        <v>10</v>
      </c>
      <c r="B11" s="69" t="str">
        <f>IF(OR(Development_Assumptions!D18="10-00-000-000-0000",Development_Assumptions!D18=""),"",Development_Assumptions!D18)</f>
        <v/>
      </c>
    </row>
    <row r="12" spans="1:2" x14ac:dyDescent="0.35">
      <c r="A12" s="77" t="s">
        <v>11</v>
      </c>
      <c r="B12" s="69" t="str">
        <f>IF(OR(Development_Assumptions!D19="10-00-000-000-0000",Development_Assumptions!D19=""),"",Development_Assumptions!D19)</f>
        <v/>
      </c>
    </row>
    <row r="13" spans="1:2" x14ac:dyDescent="0.35">
      <c r="A13" s="77" t="s">
        <v>12</v>
      </c>
      <c r="B13" s="69" t="str">
        <f>IF(OR(Development_Assumptions!D20="10-00-000-000-0000",Development_Assumptions!D20=""),"",Development_Assumptions!D20)</f>
        <v/>
      </c>
    </row>
    <row r="14" spans="1:2" x14ac:dyDescent="0.35">
      <c r="A14" s="77" t="s">
        <v>13</v>
      </c>
      <c r="B14" s="69" t="str">
        <f>IF(OR(Development_Assumptions!D21="10-00-000-000-0000",Development_Assumptions!D21=""),"",Development_Assumptions!D21)</f>
        <v/>
      </c>
    </row>
    <row r="15" spans="1:2" x14ac:dyDescent="0.35">
      <c r="A15" s="77" t="s">
        <v>14</v>
      </c>
      <c r="B15" s="69" t="str">
        <f>IF(OR(Development_Assumptions!D22="10-00-000-000-0000",Development_Assumptions!D22=""),"",Development_Assumptions!D22)</f>
        <v/>
      </c>
    </row>
    <row r="16" spans="1:2" x14ac:dyDescent="0.35">
      <c r="A16" s="77" t="s">
        <v>15</v>
      </c>
      <c r="B16" s="69" t="str">
        <f>IF(OR(Development_Assumptions!D23="10-00-000-000-0000",Development_Assumptions!D23=""),"",Development_Assumptions!D23)</f>
        <v/>
      </c>
    </row>
    <row r="17" spans="1:2" x14ac:dyDescent="0.35">
      <c r="A17" s="77" t="s">
        <v>16</v>
      </c>
      <c r="B17" s="69" t="str">
        <f>IF(OR(Development_Assumptions!D24="10-00-000-000-0000",Development_Assumptions!D24=""),"",Development_Assumptions!D24)</f>
        <v/>
      </c>
    </row>
    <row r="18" spans="1:2" x14ac:dyDescent="0.35">
      <c r="A18" s="78" t="s">
        <v>17</v>
      </c>
      <c r="B18" s="69">
        <f>IF(Development_Assumptions!D28="# sf","",Development_Assumptions!D28)</f>
        <v>0</v>
      </c>
    </row>
    <row r="19" spans="1:2" x14ac:dyDescent="0.35">
      <c r="A19" s="78" t="s">
        <v>18</v>
      </c>
      <c r="B19" s="69">
        <f>IF(Development_Assumptions!D29="# sf","",Development_Assumptions!D29)</f>
        <v>0</v>
      </c>
    </row>
    <row r="20" spans="1:2" x14ac:dyDescent="0.35">
      <c r="A20" s="78" t="s">
        <v>19</v>
      </c>
      <c r="B20" s="69">
        <f>IF(Development_Assumptions!D30="# sf","",Development_Assumptions!D30)</f>
        <v>0</v>
      </c>
    </row>
    <row r="21" spans="1:2" x14ac:dyDescent="0.35">
      <c r="A21" s="78" t="s">
        <v>20</v>
      </c>
      <c r="B21" s="69">
        <f>IF(Development_Assumptions!D31="# sf","",Development_Assumptions!D31)</f>
        <v>0</v>
      </c>
    </row>
    <row r="22" spans="1:2" x14ac:dyDescent="0.35">
      <c r="A22" s="78" t="s">
        <v>21</v>
      </c>
      <c r="B22" s="69">
        <f>IF(Development_Assumptions!D32="# sf","",Development_Assumptions!D32)</f>
        <v>0</v>
      </c>
    </row>
    <row r="23" spans="1:2" x14ac:dyDescent="0.35">
      <c r="A23" s="78" t="s">
        <v>22</v>
      </c>
      <c r="B23" s="69">
        <f>IF(Development_Assumptions!D33="# stories","",Development_Assumptions!D33)</f>
        <v>0</v>
      </c>
    </row>
    <row r="24" spans="1:2" x14ac:dyDescent="0.35">
      <c r="A24" s="78" t="s">
        <v>23</v>
      </c>
      <c r="B24" s="69" t="str">
        <f>IF(Development_Assumptions!D37="New Construction / Renovation","",Development_Assumptions!D37)</f>
        <v>Renovation</v>
      </c>
    </row>
    <row r="25" spans="1:2" x14ac:dyDescent="0.35">
      <c r="A25" s="78" t="s">
        <v>24</v>
      </c>
      <c r="B25" s="69" t="str">
        <f>IF(Development_Assumptions!D38="Structure Type","None",Development_Assumptions!D38)</f>
        <v>Precast Concrete</v>
      </c>
    </row>
    <row r="26" spans="1:2" x14ac:dyDescent="0.35">
      <c r="A26" s="78" t="s">
        <v>25</v>
      </c>
      <c r="B26" s="69" t="str">
        <f>IF(Development_Assumptions!D39="Structure Type","None",Development_Assumptions!D39)</f>
        <v>Wood Frame</v>
      </c>
    </row>
    <row r="27" spans="1:2" x14ac:dyDescent="0.35">
      <c r="A27" s="78" t="s">
        <v>26</v>
      </c>
      <c r="B27" s="69" t="str">
        <f>IF(Development_Assumptions!D43="6b, 7a, 7b, 7c, 8, C, L, None","None",Development_Assumptions!D43)</f>
        <v>None</v>
      </c>
    </row>
    <row r="28" spans="1:2" x14ac:dyDescent="0.35">
      <c r="A28" s="78" t="s">
        <v>27</v>
      </c>
      <c r="B28" s="69" t="str">
        <f>IF(Development_Assumptions!D44="Abandoned Property / Rehabilitation","",Development_Assumptions!D44)</f>
        <v/>
      </c>
    </row>
    <row r="29" spans="1:2" x14ac:dyDescent="0.35">
      <c r="A29" s="81" t="s">
        <v>28</v>
      </c>
      <c r="B29" s="69">
        <f>IF(Development_Assumptions!D47="$",0,Development_Assumptions!D47)</f>
        <v>0</v>
      </c>
    </row>
    <row r="30" spans="1:2" x14ac:dyDescent="0.35">
      <c r="A30" s="81" t="s">
        <v>29</v>
      </c>
      <c r="B30" s="69">
        <f>IF(Development_Assumptions!D48="% per year",0,Development_Assumptions!D48)</f>
        <v>0</v>
      </c>
    </row>
    <row r="31" spans="1:2" x14ac:dyDescent="0.35">
      <c r="A31" s="78" t="s">
        <v>30</v>
      </c>
      <c r="B31" s="74">
        <f>IF(Development_Assumptions!D51="%",0,Development_Assumptions!D51)</f>
        <v>0</v>
      </c>
    </row>
    <row r="32" spans="1:2" x14ac:dyDescent="0.35">
      <c r="A32" s="78" t="s">
        <v>31</v>
      </c>
      <c r="B32" s="74">
        <f>IF(Development_Assumptions!D52="%",0,Development_Assumptions!D52)</f>
        <v>0</v>
      </c>
    </row>
    <row r="33" spans="1:2" x14ac:dyDescent="0.35">
      <c r="A33" s="78" t="s">
        <v>32</v>
      </c>
      <c r="B33" s="74">
        <f>IF(Development_Assumptions!D53="%",0,Development_Assumptions!D53)</f>
        <v>0</v>
      </c>
    </row>
    <row r="34" spans="1:2" x14ac:dyDescent="0.35">
      <c r="A34" s="78" t="s">
        <v>33</v>
      </c>
      <c r="B34" s="74">
        <f>IF(Development_Assumptions!D54="%",0,Development_Assumptions!D54)</f>
        <v>0</v>
      </c>
    </row>
    <row r="35" spans="1:2" x14ac:dyDescent="0.35">
      <c r="A35" s="78" t="s">
        <v>34</v>
      </c>
      <c r="B35" s="74">
        <f>IF(Development_Assumptions!D55="%",0,Development_Assumptions!D55)</f>
        <v>0</v>
      </c>
    </row>
    <row r="36" spans="1:2" x14ac:dyDescent="0.35">
      <c r="A36" s="78" t="s">
        <v>35</v>
      </c>
      <c r="B36" s="74">
        <f>IF(Development_Assumptions!D56="%",0,Development_Assumptions!D56)</f>
        <v>0</v>
      </c>
    </row>
    <row r="37" spans="1:2" x14ac:dyDescent="0.35">
      <c r="A37" s="81" t="s">
        <v>36</v>
      </c>
      <c r="B37" s="69" t="str">
        <f>IF(Development_Costs!C5="$","",Development_Costs!C5)</f>
        <v/>
      </c>
    </row>
    <row r="38" spans="1:2" x14ac:dyDescent="0.35">
      <c r="A38" s="81" t="s">
        <v>37</v>
      </c>
      <c r="B38" s="69" t="str">
        <f>IF(Development_Costs!C6="$","",Development_Costs!C6)</f>
        <v/>
      </c>
    </row>
    <row r="39" spans="1:2" x14ac:dyDescent="0.35">
      <c r="A39" s="81" t="s">
        <v>38</v>
      </c>
      <c r="B39" s="69" t="str">
        <f>IF(Development_Costs!C7="$","",Development_Costs!C7)</f>
        <v/>
      </c>
    </row>
    <row r="40" spans="1:2" x14ac:dyDescent="0.35">
      <c r="A40" s="81" t="s">
        <v>39</v>
      </c>
      <c r="B40" s="69" t="str">
        <f>IF(Development_Costs!C8="$","",Development_Costs!C8)</f>
        <v/>
      </c>
    </row>
    <row r="41" spans="1:2" x14ac:dyDescent="0.35">
      <c r="A41" s="81" t="s">
        <v>40</v>
      </c>
      <c r="B41" s="75" t="str">
        <f>IF(Development_Costs!D5="mm/dd/yyyy","",Development_Costs!D5)</f>
        <v/>
      </c>
    </row>
    <row r="42" spans="1:2" x14ac:dyDescent="0.35">
      <c r="A42" s="81" t="s">
        <v>41</v>
      </c>
      <c r="B42" s="75" t="str">
        <f>$B$41</f>
        <v/>
      </c>
    </row>
    <row r="43" spans="1:2" x14ac:dyDescent="0.35">
      <c r="A43" s="81" t="s">
        <v>42</v>
      </c>
      <c r="B43" s="75" t="str">
        <f>$B$41</f>
        <v/>
      </c>
    </row>
    <row r="44" spans="1:2" x14ac:dyDescent="0.35">
      <c r="A44" s="81" t="s">
        <v>43</v>
      </c>
      <c r="B44" s="75" t="str">
        <f>$B$41</f>
        <v/>
      </c>
    </row>
    <row r="45" spans="1:2" x14ac:dyDescent="0.35">
      <c r="A45" s="81" t="s">
        <v>44</v>
      </c>
      <c r="B45" s="69" t="str">
        <f>IF(B37="","",0)</f>
        <v/>
      </c>
    </row>
    <row r="46" spans="1:2" x14ac:dyDescent="0.35">
      <c r="A46" s="81" t="s">
        <v>45</v>
      </c>
      <c r="B46" s="69" t="str">
        <f t="shared" ref="B46:B48" si="0">IF(B38="","",0)</f>
        <v/>
      </c>
    </row>
    <row r="47" spans="1:2" x14ac:dyDescent="0.35">
      <c r="A47" s="81" t="s">
        <v>46</v>
      </c>
      <c r="B47" s="69" t="str">
        <f t="shared" si="0"/>
        <v/>
      </c>
    </row>
    <row r="48" spans="1:2" x14ac:dyDescent="0.35">
      <c r="A48" s="81" t="s">
        <v>47</v>
      </c>
      <c r="B48" s="69" t="str">
        <f t="shared" si="0"/>
        <v/>
      </c>
    </row>
    <row r="49" spans="1:2" x14ac:dyDescent="0.35">
      <c r="A49" s="81" t="s">
        <v>48</v>
      </c>
      <c r="B49" s="69">
        <f>IF(Development_Costs!C14="$","",Development_Costs!C14)</f>
        <v>0</v>
      </c>
    </row>
    <row r="50" spans="1:2" x14ac:dyDescent="0.35">
      <c r="A50" s="81" t="s">
        <v>49</v>
      </c>
      <c r="B50" s="69">
        <f>IF(Development_Costs!C15="$","",Development_Costs!C15)</f>
        <v>0</v>
      </c>
    </row>
    <row r="51" spans="1:2" x14ac:dyDescent="0.35">
      <c r="A51" s="81" t="s">
        <v>50</v>
      </c>
      <c r="B51" s="75" t="str">
        <f>IF(Development_Costs!D13="mm/dd/yyyy","",Development_Costs!D13)</f>
        <v/>
      </c>
    </row>
    <row r="52" spans="1:2" x14ac:dyDescent="0.35">
      <c r="A52" s="81" t="s">
        <v>51</v>
      </c>
      <c r="B52" s="75" t="str">
        <f>IF(B50="","",B51)</f>
        <v/>
      </c>
    </row>
    <row r="53" spans="1:2" x14ac:dyDescent="0.35">
      <c r="A53" s="81" t="s">
        <v>52</v>
      </c>
      <c r="B53" s="69" t="str">
        <f>IF(Development_Costs!$F$13="# months","",Development_Costs!$F$13)</f>
        <v/>
      </c>
    </row>
    <row r="54" spans="1:2" x14ac:dyDescent="0.35">
      <c r="A54" s="81" t="s">
        <v>53</v>
      </c>
      <c r="B54" s="69" t="str">
        <f>IF(B50="","",B53)</f>
        <v/>
      </c>
    </row>
    <row r="55" spans="1:2" x14ac:dyDescent="0.35">
      <c r="A55" s="81" t="s">
        <v>54</v>
      </c>
      <c r="B55" s="69" t="str">
        <f>IF(OR(Development_Costs!C18=0,Development_Costs!C18="$"),"",Development_Costs!C18)</f>
        <v/>
      </c>
    </row>
    <row r="56" spans="1:2" x14ac:dyDescent="0.35">
      <c r="A56" s="81" t="s">
        <v>55</v>
      </c>
      <c r="B56" s="69" t="str">
        <f>IF(OR(Development_Costs!C22=0,Development_Costs!C22="$"),"",Development_Costs!C22)</f>
        <v/>
      </c>
    </row>
    <row r="57" spans="1:2" x14ac:dyDescent="0.35">
      <c r="A57" s="81" t="s">
        <v>56</v>
      </c>
      <c r="B57" s="69" t="str">
        <f>IF(OR(Development_Costs!C27=0,Development_Costs!C27="$"),"",Development_Costs!C27)</f>
        <v/>
      </c>
    </row>
    <row r="58" spans="1:2" x14ac:dyDescent="0.35">
      <c r="A58" s="81" t="s">
        <v>57</v>
      </c>
      <c r="B58" s="69" t="str">
        <f>IF(OR(Development_Costs!C32=0,Development_Costs!C32="$"),"",Development_Costs!C32)</f>
        <v/>
      </c>
    </row>
    <row r="59" spans="1:2" x14ac:dyDescent="0.35">
      <c r="A59" s="81" t="s">
        <v>58</v>
      </c>
      <c r="B59" s="69" t="str">
        <f>IF(OR(Development_Costs!C39=0,Development_Costs!C39="$"),"",Development_Costs!C39)</f>
        <v/>
      </c>
    </row>
    <row r="60" spans="1:2" x14ac:dyDescent="0.35">
      <c r="A60" s="81" t="s">
        <v>59</v>
      </c>
      <c r="B60" s="69" t="str">
        <f>IF(OR(Development_Costs!C44=0,Development_Costs!C44="$"),"",Development_Costs!C44)</f>
        <v/>
      </c>
    </row>
    <row r="61" spans="1:2" x14ac:dyDescent="0.35">
      <c r="A61" s="81" t="s">
        <v>60</v>
      </c>
      <c r="B61" s="69" t="str">
        <f>IF(OR(Development_Costs!C48=0,Development_Costs!C48="$"),"",Development_Costs!C48)</f>
        <v/>
      </c>
    </row>
    <row r="62" spans="1:2" x14ac:dyDescent="0.35">
      <c r="A62" s="81" t="s">
        <v>61</v>
      </c>
      <c r="B62" s="75" t="str">
        <f>IF(Development_Costs!D18="mm/dd/yyyy","",Development_Costs!D18)</f>
        <v/>
      </c>
    </row>
    <row r="63" spans="1:2" x14ac:dyDescent="0.35">
      <c r="A63" s="81" t="s">
        <v>62</v>
      </c>
      <c r="B63" s="75" t="str">
        <f>IF(Development_Costs!D22="mm/dd/yyyy","",Development_Costs!D22)</f>
        <v/>
      </c>
    </row>
    <row r="64" spans="1:2" x14ac:dyDescent="0.35">
      <c r="A64" s="81" t="s">
        <v>63</v>
      </c>
      <c r="B64" s="75" t="str">
        <f>IF(Development_Costs!D27="mm/dd/yyyy","",Development_Costs!D27)</f>
        <v/>
      </c>
    </row>
    <row r="65" spans="1:2" x14ac:dyDescent="0.35">
      <c r="A65" s="81" t="s">
        <v>64</v>
      </c>
      <c r="B65" s="75" t="str">
        <f>IF(Development_Costs!D32="mm/dd/yyyy","",Development_Costs!D32)</f>
        <v/>
      </c>
    </row>
    <row r="66" spans="1:2" x14ac:dyDescent="0.35">
      <c r="A66" s="81" t="s">
        <v>65</v>
      </c>
      <c r="B66" s="75" t="str">
        <f>IF(Development_Costs!D39="mm/dd/yyyy","",Development_Costs!D39)</f>
        <v/>
      </c>
    </row>
    <row r="67" spans="1:2" x14ac:dyDescent="0.35">
      <c r="A67" s="81" t="s">
        <v>66</v>
      </c>
      <c r="B67" s="75" t="str">
        <f>IF(Development_Costs!D44="mm/dd/yyyy","",Development_Costs!D44)</f>
        <v/>
      </c>
    </row>
    <row r="68" spans="1:2" x14ac:dyDescent="0.35">
      <c r="A68" s="81" t="s">
        <v>67</v>
      </c>
      <c r="B68" s="75" t="str">
        <f>IF(Development_Costs!D48="mm/dd/yyyy","",Development_Costs!D48)</f>
        <v/>
      </c>
    </row>
    <row r="69" spans="1:2" x14ac:dyDescent="0.35">
      <c r="A69" s="81" t="s">
        <v>68</v>
      </c>
      <c r="B69" s="69" t="str">
        <f>IF(Development_Costs!$F$18="# months","",Development_Costs!$F$18)</f>
        <v/>
      </c>
    </row>
    <row r="70" spans="1:2" x14ac:dyDescent="0.35">
      <c r="A70" s="81" t="s">
        <v>69</v>
      </c>
      <c r="B70" s="69" t="str">
        <f>IF(Development_Costs!$F$22="# months","",Development_Costs!$F$22)</f>
        <v/>
      </c>
    </row>
    <row r="71" spans="1:2" x14ac:dyDescent="0.35">
      <c r="A71" s="81" t="s">
        <v>70</v>
      </c>
      <c r="B71" s="69" t="str">
        <f>IF(Development_Costs!$F$27="# months","",Development_Costs!$F$27)</f>
        <v/>
      </c>
    </row>
    <row r="72" spans="1:2" x14ac:dyDescent="0.35">
      <c r="A72" s="81" t="s">
        <v>71</v>
      </c>
      <c r="B72" s="69" t="str">
        <f>IF(Development_Costs!$F$32="# months","",Development_Costs!$F$32)</f>
        <v/>
      </c>
    </row>
    <row r="73" spans="1:2" x14ac:dyDescent="0.35">
      <c r="A73" s="81" t="s">
        <v>72</v>
      </c>
      <c r="B73" s="69" t="str">
        <f>IF(Development_Costs!$F$39="# months","",Development_Costs!$F$39)</f>
        <v/>
      </c>
    </row>
    <row r="74" spans="1:2" x14ac:dyDescent="0.35">
      <c r="A74" s="81" t="s">
        <v>73</v>
      </c>
      <c r="B74" s="69" t="str">
        <f>IF(Development_Costs!$F$44="# months","",Development_Costs!$F$44)</f>
        <v/>
      </c>
    </row>
    <row r="75" spans="1:2" s="7" customFormat="1" x14ac:dyDescent="0.35">
      <c r="A75" s="81" t="s">
        <v>74</v>
      </c>
      <c r="B75" s="69" t="str">
        <f>IF(Development_Costs!$F$48="# months","",Development_Costs!$F$48)</f>
        <v/>
      </c>
    </row>
    <row r="76" spans="1:2" s="7" customFormat="1" x14ac:dyDescent="0.35">
      <c r="A76" s="81" t="s">
        <v>75</v>
      </c>
      <c r="B76" s="69" t="str">
        <f>IF(OR(Development_Costs!C59=0,Development_Costs!C59="$"),"",Development_Costs!C59)</f>
        <v/>
      </c>
    </row>
    <row r="77" spans="1:2" s="7" customFormat="1" x14ac:dyDescent="0.35">
      <c r="A77" s="81" t="s">
        <v>76</v>
      </c>
      <c r="B77" s="69" t="str">
        <f>IF(OR(Development_Costs!C66=0,Development_Costs!C66="$"),"",Development_Costs!C66)</f>
        <v/>
      </c>
    </row>
    <row r="78" spans="1:2" s="7" customFormat="1" x14ac:dyDescent="0.35">
      <c r="A78" s="81" t="s">
        <v>77</v>
      </c>
      <c r="B78" s="69">
        <f>IF(Development_Costs!C71="$","",Development_Costs!C71)</f>
        <v>0</v>
      </c>
    </row>
    <row r="79" spans="1:2" s="7" customFormat="1" x14ac:dyDescent="0.35">
      <c r="A79" s="81" t="s">
        <v>78</v>
      </c>
      <c r="B79" s="69">
        <f>IF(Development_Costs!C73="$","",Development_Costs!C73)</f>
        <v>0</v>
      </c>
    </row>
    <row r="80" spans="1:2" x14ac:dyDescent="0.35">
      <c r="A80" s="81" t="s">
        <v>79</v>
      </c>
      <c r="B80" s="69">
        <f>IF(Development_Costs!C75="$","",Development_Costs!C75)</f>
        <v>0</v>
      </c>
    </row>
    <row r="81" spans="1:2" x14ac:dyDescent="0.35">
      <c r="A81" s="81" t="s">
        <v>80</v>
      </c>
      <c r="B81" s="69" t="str">
        <f>IF(OR(Development_Costs!C80=0,Development_Costs!C80="$"),"",Development_Costs!C80)</f>
        <v/>
      </c>
    </row>
    <row r="82" spans="1:2" x14ac:dyDescent="0.35">
      <c r="A82" s="81" t="s">
        <v>81</v>
      </c>
      <c r="B82" s="69" t="str">
        <f>IF(OR(Development_Costs!C84=0,Development_Costs!C84="$"),"",Development_Costs!C84)</f>
        <v/>
      </c>
    </row>
    <row r="83" spans="1:2" x14ac:dyDescent="0.35">
      <c r="A83" s="81" t="s">
        <v>82</v>
      </c>
      <c r="B83" s="75" t="str">
        <f>IF(Development_Costs!D59="mm/dd/yyyy","",Development_Costs!D59)</f>
        <v/>
      </c>
    </row>
    <row r="84" spans="1:2" x14ac:dyDescent="0.35">
      <c r="A84" s="81" t="s">
        <v>83</v>
      </c>
      <c r="B84" s="75" t="str">
        <f>IF(Development_Costs!D66="mm/dd/yyyy","",Development_Costs!D66)</f>
        <v/>
      </c>
    </row>
    <row r="85" spans="1:2" x14ac:dyDescent="0.35">
      <c r="A85" s="81" t="s">
        <v>84</v>
      </c>
      <c r="B85" s="75" t="str">
        <f>IF(Development_Costs!D71="mm/dd/yyyy","",Development_Costs!D71)</f>
        <v/>
      </c>
    </row>
    <row r="86" spans="1:2" x14ac:dyDescent="0.35">
      <c r="A86" s="81" t="s">
        <v>85</v>
      </c>
      <c r="B86" s="75" t="str">
        <f>IF(Development_Costs!D73="mm/dd/yyyy","",Development_Costs!D73)</f>
        <v/>
      </c>
    </row>
    <row r="87" spans="1:2" x14ac:dyDescent="0.35">
      <c r="A87" s="81" t="s">
        <v>86</v>
      </c>
      <c r="B87" s="75" t="str">
        <f>IF(Development_Costs!D75="mm/dd/yyyy","",Development_Costs!D75)</f>
        <v/>
      </c>
    </row>
    <row r="88" spans="1:2" x14ac:dyDescent="0.35">
      <c r="A88" s="81" t="s">
        <v>87</v>
      </c>
      <c r="B88" s="75" t="str">
        <f>IF(Development_Costs!D80="mm/dd/yyyy","",Development_Costs!D80)</f>
        <v/>
      </c>
    </row>
    <row r="89" spans="1:2" x14ac:dyDescent="0.35">
      <c r="A89" s="81" t="s">
        <v>88</v>
      </c>
      <c r="B89" s="75" t="str">
        <f>IF(Development_Costs!D84="mm/dd/yyyy","",Development_Costs!D84)</f>
        <v/>
      </c>
    </row>
    <row r="90" spans="1:2" x14ac:dyDescent="0.35">
      <c r="A90" s="81" t="s">
        <v>89</v>
      </c>
      <c r="B90" s="69" t="str">
        <f>IF(Development_Costs!$F$59="# months","",Development_Costs!$F$59)</f>
        <v/>
      </c>
    </row>
    <row r="91" spans="1:2" x14ac:dyDescent="0.35">
      <c r="A91" s="81" t="s">
        <v>90</v>
      </c>
      <c r="B91" s="69" t="str">
        <f>IF(Development_Costs!$F$66="# months","",Development_Costs!$F$66)</f>
        <v/>
      </c>
    </row>
    <row r="92" spans="1:2" x14ac:dyDescent="0.35">
      <c r="A92" s="81" t="s">
        <v>91</v>
      </c>
      <c r="B92" s="69" t="str">
        <f>IF(Development_Costs!$F$71="# months","",Development_Costs!$F$71)</f>
        <v/>
      </c>
    </row>
    <row r="93" spans="1:2" x14ac:dyDescent="0.35">
      <c r="A93" s="81" t="s">
        <v>92</v>
      </c>
      <c r="B93" s="69" t="str">
        <f>IF(Development_Costs!$F$73="# months","",Development_Costs!$F$73)</f>
        <v/>
      </c>
    </row>
    <row r="94" spans="1:2" x14ac:dyDescent="0.35">
      <c r="A94" s="81" t="s">
        <v>93</v>
      </c>
      <c r="B94" s="69" t="str">
        <f>IF(Development_Costs!$F$75="# months","",Development_Costs!$F$75)</f>
        <v/>
      </c>
    </row>
    <row r="95" spans="1:2" x14ac:dyDescent="0.35">
      <c r="A95" s="81" t="s">
        <v>94</v>
      </c>
      <c r="B95" s="69" t="str">
        <f>IF(Development_Costs!$F$80="# months","",Development_Costs!$F$80)</f>
        <v/>
      </c>
    </row>
    <row r="96" spans="1:2" x14ac:dyDescent="0.35">
      <c r="A96" s="81" t="s">
        <v>95</v>
      </c>
      <c r="B96" s="69" t="str">
        <f>IF(Development_Costs!$F$84="# months","",Development_Costs!$F$84)</f>
        <v/>
      </c>
    </row>
    <row r="97" spans="1:2" x14ac:dyDescent="0.35">
      <c r="A97" s="81" t="s">
        <v>96</v>
      </c>
      <c r="B97" s="69">
        <f>IF(Development_Costs!C53="$",0,Development_Costs!C53)</f>
        <v>0</v>
      </c>
    </row>
    <row r="98" spans="1:2" x14ac:dyDescent="0.35">
      <c r="A98" s="81" t="s">
        <v>97</v>
      </c>
      <c r="B98" s="74" t="str">
        <f>Development_Costs!C54</f>
        <v>-</v>
      </c>
    </row>
    <row r="99" spans="1:2" x14ac:dyDescent="0.35">
      <c r="A99" s="81" t="s">
        <v>98</v>
      </c>
      <c r="B99" s="69">
        <f>IF(Development_Costs!C77="$",0,Development_Costs!C77)</f>
        <v>0</v>
      </c>
    </row>
    <row r="100" spans="1:2" x14ac:dyDescent="0.35">
      <c r="A100" s="81" t="s">
        <v>99</v>
      </c>
      <c r="B100" s="74" t="str">
        <f>Development_Costs!C78</f>
        <v>-</v>
      </c>
    </row>
    <row r="101" spans="1:2" x14ac:dyDescent="0.35">
      <c r="A101" s="81" t="s">
        <v>100</v>
      </c>
      <c r="B101" s="74">
        <f>IF(Development_Costs!F91="% per year",0,Development_Costs!F91)</f>
        <v>0</v>
      </c>
    </row>
    <row r="102" spans="1:2" x14ac:dyDescent="0.35">
      <c r="A102" s="81" t="s">
        <v>101</v>
      </c>
      <c r="B102" s="69" t="str">
        <f>IF('Capital Stack_Incentives'!C46="$","",'Capital Stack_Incentives'!C46)</f>
        <v/>
      </c>
    </row>
    <row r="103" spans="1:2" x14ac:dyDescent="0.35">
      <c r="A103" s="81" t="s">
        <v>102</v>
      </c>
      <c r="B103" s="69">
        <f>IF('Capital Stack_Incentives'!D46="%",0,'Capital Stack_Incentives'!D46)</f>
        <v>0</v>
      </c>
    </row>
    <row r="104" spans="1:2" x14ac:dyDescent="0.35">
      <c r="A104" s="81" t="s">
        <v>103</v>
      </c>
      <c r="B104" s="69" t="str">
        <f>IF('Capital Stack_Incentives'!E46="mm/dd/yyyy","",'Capital Stack_Incentives'!E46)</f>
        <v/>
      </c>
    </row>
    <row r="105" spans="1:2" x14ac:dyDescent="0.35">
      <c r="A105" s="81" t="s">
        <v>104</v>
      </c>
      <c r="B105" s="69">
        <f>IF('Capital Stack_Incentives'!F46="# months",0,'Capital Stack_Incentives'!F46)</f>
        <v>0</v>
      </c>
    </row>
    <row r="106" spans="1:2" x14ac:dyDescent="0.35">
      <c r="A106" s="81" t="s">
        <v>105</v>
      </c>
      <c r="B106" s="69">
        <f>IF('Capital Stack_Incentives'!C5="$",0,'Capital Stack_Incentives'!C5)</f>
        <v>0</v>
      </c>
    </row>
    <row r="107" spans="1:2" x14ac:dyDescent="0.35">
      <c r="A107" s="81" t="s">
        <v>106</v>
      </c>
      <c r="B107" s="69">
        <f>IF('Capital Stack_Incentives'!C23="$",0,'Capital Stack_Incentives'!C23)</f>
        <v>0</v>
      </c>
    </row>
    <row r="108" spans="1:2" x14ac:dyDescent="0.35">
      <c r="A108" s="81" t="s">
        <v>107</v>
      </c>
      <c r="B108" s="69">
        <f>IF('Capital Stack_Incentives'!C24="$",0,'Capital Stack_Incentives'!C24)</f>
        <v>0</v>
      </c>
    </row>
    <row r="109" spans="1:2" x14ac:dyDescent="0.35">
      <c r="A109" s="81" t="s">
        <v>108</v>
      </c>
      <c r="B109" s="69">
        <f>IF('Capital Stack_Incentives'!C25="$",0,'Capital Stack_Incentives'!C25)</f>
        <v>0</v>
      </c>
    </row>
    <row r="110" spans="1:2" x14ac:dyDescent="0.35">
      <c r="A110" s="81" t="s">
        <v>109</v>
      </c>
      <c r="B110" s="69">
        <f>IF('Capital Stack_Incentives'!C26="$",0,'Capital Stack_Incentives'!C26)</f>
        <v>0</v>
      </c>
    </row>
    <row r="111" spans="1:2" x14ac:dyDescent="0.35">
      <c r="A111" s="81" t="s">
        <v>110</v>
      </c>
      <c r="B111" s="69">
        <f>IF('Capital Stack_Incentives'!C27="$",0,'Capital Stack_Incentives'!C27)</f>
        <v>0</v>
      </c>
    </row>
    <row r="112" spans="1:2" x14ac:dyDescent="0.35">
      <c r="A112" s="81" t="s">
        <v>111</v>
      </c>
      <c r="B112" s="69">
        <f>IF('Capital Stack_Incentives'!C28="$",0,'Capital Stack_Incentives'!C28)</f>
        <v>0</v>
      </c>
    </row>
    <row r="113" spans="1:2" x14ac:dyDescent="0.35">
      <c r="A113" s="81" t="s">
        <v>112</v>
      </c>
      <c r="B113" s="69">
        <f>IF('Capital Stack_Incentives'!C32="$",0,'Capital Stack_Incentives'!C32)</f>
        <v>0</v>
      </c>
    </row>
    <row r="114" spans="1:2" x14ac:dyDescent="0.35">
      <c r="A114" s="81" t="s">
        <v>113</v>
      </c>
      <c r="B114" s="69">
        <f>IF('Capital Stack_Incentives'!C33="$",0,'Capital Stack_Incentives'!C33)</f>
        <v>0</v>
      </c>
    </row>
    <row r="115" spans="1:2" x14ac:dyDescent="0.35">
      <c r="A115" s="81" t="s">
        <v>114</v>
      </c>
      <c r="B115" s="69">
        <f>IF('Capital Stack_Incentives'!C34="$",0,'Capital Stack_Incentives'!C34)</f>
        <v>0</v>
      </c>
    </row>
    <row r="116" spans="1:2" x14ac:dyDescent="0.35">
      <c r="A116" s="81" t="s">
        <v>115</v>
      </c>
      <c r="B116" s="69">
        <f>IF('Capital Stack_Incentives'!C35="$",0,'Capital Stack_Incentives'!C35)</f>
        <v>0</v>
      </c>
    </row>
    <row r="117" spans="1:2" x14ac:dyDescent="0.35">
      <c r="A117" s="81" t="s">
        <v>116</v>
      </c>
      <c r="B117" s="69">
        <f>IF('Capital Stack_Incentives'!C36="$",0,'Capital Stack_Incentives'!C36)</f>
        <v>0</v>
      </c>
    </row>
    <row r="118" spans="1:2" s="7" customFormat="1" x14ac:dyDescent="0.35">
      <c r="A118" s="81" t="s">
        <v>117</v>
      </c>
      <c r="B118" s="69">
        <f>IF('Capital Stack_Incentives'!C37="$",0,'Capital Stack_Incentives'!C37)</f>
        <v>0</v>
      </c>
    </row>
    <row r="119" spans="1:2" x14ac:dyDescent="0.35">
      <c r="A119" s="81" t="s">
        <v>118</v>
      </c>
      <c r="B119" s="69">
        <f>IF('Capital Stack_Incentives'!C9="$",0,'Capital Stack_Incentives'!C9)</f>
        <v>0</v>
      </c>
    </row>
    <row r="120" spans="1:2" x14ac:dyDescent="0.35">
      <c r="A120" s="81" t="s">
        <v>119</v>
      </c>
      <c r="B120" s="69">
        <f>IF('Capital Stack_Incentives'!C10="$",0,'Capital Stack_Incentives'!C10)</f>
        <v>0</v>
      </c>
    </row>
    <row r="121" spans="1:2" x14ac:dyDescent="0.35">
      <c r="A121" s="81" t="s">
        <v>120</v>
      </c>
      <c r="B121" s="69">
        <f>IF('Capital Stack_Incentives'!C11="$",0,'Capital Stack_Incentives'!C11)</f>
        <v>0</v>
      </c>
    </row>
    <row r="122" spans="1:2" x14ac:dyDescent="0.35">
      <c r="A122" s="81" t="s">
        <v>121</v>
      </c>
      <c r="B122" s="69">
        <f>IF('Capital Stack_Incentives'!C12="$",0,'Capital Stack_Incentives'!C12)</f>
        <v>0</v>
      </c>
    </row>
    <row r="123" spans="1:2" x14ac:dyDescent="0.35">
      <c r="A123" s="81" t="s">
        <v>122</v>
      </c>
      <c r="B123" s="69">
        <f>IF('Capital Stack_Incentives'!C13="$",0,'Capital Stack_Incentives'!C13)</f>
        <v>0</v>
      </c>
    </row>
    <row r="124" spans="1:2" x14ac:dyDescent="0.35">
      <c r="A124" s="81" t="s">
        <v>123</v>
      </c>
      <c r="B124" s="69">
        <f>IF('Capital Stack_Incentives'!C14="$",0,'Capital Stack_Incentives'!C14)</f>
        <v>0</v>
      </c>
    </row>
    <row r="125" spans="1:2" x14ac:dyDescent="0.35">
      <c r="A125" s="81" t="s">
        <v>124</v>
      </c>
      <c r="B125" s="69">
        <f>IF('Capital Stack_Incentives'!C15="$",0,'Capital Stack_Incentives'!C15)</f>
        <v>0</v>
      </c>
    </row>
    <row r="126" spans="1:2" x14ac:dyDescent="0.35">
      <c r="A126" s="81" t="s">
        <v>125</v>
      </c>
      <c r="B126" s="69">
        <f>IF('Capital Stack_Incentives'!C16="$",0,'Capital Stack_Incentives'!C16)</f>
        <v>0</v>
      </c>
    </row>
    <row r="127" spans="1:2" x14ac:dyDescent="0.35">
      <c r="A127" s="81" t="s">
        <v>126</v>
      </c>
      <c r="B127" s="69">
        <f>IF('Capital Stack_Incentives'!C17="$",0,'Capital Stack_Incentives'!C17)</f>
        <v>0</v>
      </c>
    </row>
    <row r="128" spans="1:2" x14ac:dyDescent="0.35">
      <c r="A128" s="81" t="s">
        <v>127</v>
      </c>
      <c r="B128" s="69">
        <f>IF('Capital Stack_Incentives'!C18="$",0,'Capital Stack_Incentives'!C18)</f>
        <v>0</v>
      </c>
    </row>
    <row r="129" spans="1:2" x14ac:dyDescent="0.35">
      <c r="A129" s="81" t="s">
        <v>128</v>
      </c>
      <c r="B129" s="69">
        <f>IF('Capital Stack_Incentives'!D9="%",0,'Capital Stack_Incentives'!D9)</f>
        <v>0</v>
      </c>
    </row>
    <row r="130" spans="1:2" x14ac:dyDescent="0.35">
      <c r="A130" s="81" t="s">
        <v>129</v>
      </c>
      <c r="B130" s="69">
        <f>IF('Capital Stack_Incentives'!D10="%",0,'Capital Stack_Incentives'!D10)</f>
        <v>0</v>
      </c>
    </row>
    <row r="131" spans="1:2" x14ac:dyDescent="0.35">
      <c r="A131" s="81" t="s">
        <v>130</v>
      </c>
      <c r="B131" s="69">
        <f>IF('Capital Stack_Incentives'!D11="%",0,'Capital Stack_Incentives'!D11)</f>
        <v>0</v>
      </c>
    </row>
    <row r="132" spans="1:2" x14ac:dyDescent="0.35">
      <c r="A132" s="81" t="s">
        <v>131</v>
      </c>
      <c r="B132" s="69">
        <f>IF('Capital Stack_Incentives'!D12="%",0,'Capital Stack_Incentives'!D12)</f>
        <v>0</v>
      </c>
    </row>
    <row r="133" spans="1:2" x14ac:dyDescent="0.35">
      <c r="A133" s="81" t="s">
        <v>132</v>
      </c>
      <c r="B133" s="69">
        <f>IF('Capital Stack_Incentives'!D13="%",0,'Capital Stack_Incentives'!D13)</f>
        <v>0</v>
      </c>
    </row>
    <row r="134" spans="1:2" x14ac:dyDescent="0.35">
      <c r="A134" s="81" t="s">
        <v>133</v>
      </c>
      <c r="B134" s="69">
        <f>IF('Capital Stack_Incentives'!D14="%",0,'Capital Stack_Incentives'!D14)</f>
        <v>0</v>
      </c>
    </row>
    <row r="135" spans="1:2" x14ac:dyDescent="0.35">
      <c r="A135" s="81" t="s">
        <v>134</v>
      </c>
      <c r="B135" s="69">
        <f>IF('Capital Stack_Incentives'!D15="%",0,'Capital Stack_Incentives'!D15)</f>
        <v>0</v>
      </c>
    </row>
    <row r="136" spans="1:2" x14ac:dyDescent="0.35">
      <c r="A136" s="81" t="s">
        <v>135</v>
      </c>
      <c r="B136" s="69">
        <f>IF('Capital Stack_Incentives'!D16="%",0,'Capital Stack_Incentives'!D16)</f>
        <v>0</v>
      </c>
    </row>
    <row r="137" spans="1:2" x14ac:dyDescent="0.35">
      <c r="A137" s="81" t="s">
        <v>136</v>
      </c>
      <c r="B137" s="69">
        <f>IF('Capital Stack_Incentives'!D17="%",0,'Capital Stack_Incentives'!D17)</f>
        <v>0</v>
      </c>
    </row>
    <row r="138" spans="1:2" s="7" customFormat="1" x14ac:dyDescent="0.35">
      <c r="A138" s="81" t="s">
        <v>137</v>
      </c>
      <c r="B138" s="69">
        <f>IF('Capital Stack_Incentives'!D18="%",0,'Capital Stack_Incentives'!D18)</f>
        <v>0</v>
      </c>
    </row>
    <row r="139" spans="1:2" s="7" customFormat="1" x14ac:dyDescent="0.35">
      <c r="A139" s="81" t="s">
        <v>138</v>
      </c>
      <c r="B139" s="69" t="str">
        <f>IF('Capital Stack_Incentives'!E9="mm/dd/yyyy","",'Capital Stack_Incentives'!E9)</f>
        <v/>
      </c>
    </row>
    <row r="140" spans="1:2" s="7" customFormat="1" x14ac:dyDescent="0.35">
      <c r="A140" s="81" t="s">
        <v>139</v>
      </c>
      <c r="B140" s="69" t="str">
        <f>IF('Capital Stack_Incentives'!E10="mm/dd/yyyy","",'Capital Stack_Incentives'!E10)</f>
        <v/>
      </c>
    </row>
    <row r="141" spans="1:2" s="7" customFormat="1" x14ac:dyDescent="0.35">
      <c r="A141" s="81" t="s">
        <v>140</v>
      </c>
      <c r="B141" s="69" t="str">
        <f>IF('Capital Stack_Incentives'!E11="mm/dd/yyyy","",'Capital Stack_Incentives'!E11)</f>
        <v/>
      </c>
    </row>
    <row r="142" spans="1:2" s="7" customFormat="1" x14ac:dyDescent="0.35">
      <c r="A142" s="81" t="s">
        <v>141</v>
      </c>
      <c r="B142" s="69" t="str">
        <f>IF('Capital Stack_Incentives'!E12="mm/dd/yyyy","",'Capital Stack_Incentives'!E12)</f>
        <v/>
      </c>
    </row>
    <row r="143" spans="1:2" s="7" customFormat="1" x14ac:dyDescent="0.35">
      <c r="A143" s="81" t="s">
        <v>142</v>
      </c>
      <c r="B143" s="69" t="str">
        <f>IF('Capital Stack_Incentives'!E13="mm/dd/yyyy","",'Capital Stack_Incentives'!E13)</f>
        <v/>
      </c>
    </row>
    <row r="144" spans="1:2" s="7" customFormat="1" x14ac:dyDescent="0.35">
      <c r="A144" s="81" t="s">
        <v>143</v>
      </c>
      <c r="B144" s="69" t="str">
        <f>IF('Capital Stack_Incentives'!E14="mm/dd/yyyy","",'Capital Stack_Incentives'!E14)</f>
        <v/>
      </c>
    </row>
    <row r="145" spans="1:2" s="7" customFormat="1" x14ac:dyDescent="0.35">
      <c r="A145" s="81" t="s">
        <v>144</v>
      </c>
      <c r="B145" s="69" t="str">
        <f>IF('Capital Stack_Incentives'!E15="mm/dd/yyyy","",'Capital Stack_Incentives'!E15)</f>
        <v/>
      </c>
    </row>
    <row r="146" spans="1:2" s="7" customFormat="1" x14ac:dyDescent="0.35">
      <c r="A146" s="81" t="s">
        <v>145</v>
      </c>
      <c r="B146" s="69" t="str">
        <f>IF('Capital Stack_Incentives'!E16="mm/dd/yyyy","",'Capital Stack_Incentives'!E16)</f>
        <v/>
      </c>
    </row>
    <row r="147" spans="1:2" s="7" customFormat="1" x14ac:dyDescent="0.35">
      <c r="A147" s="81" t="s">
        <v>146</v>
      </c>
      <c r="B147" s="69" t="str">
        <f>IF('Capital Stack_Incentives'!E17="mm/dd/yyyy","",'Capital Stack_Incentives'!E17)</f>
        <v/>
      </c>
    </row>
    <row r="148" spans="1:2" s="7" customFormat="1" x14ac:dyDescent="0.35">
      <c r="A148" s="81" t="s">
        <v>147</v>
      </c>
      <c r="B148" s="69" t="str">
        <f>IF('Capital Stack_Incentives'!E18="mm/dd/yyyy","",'Capital Stack_Incentives'!E18)</f>
        <v/>
      </c>
    </row>
    <row r="149" spans="1:2" s="7" customFormat="1" x14ac:dyDescent="0.35">
      <c r="A149" s="81" t="s">
        <v>148</v>
      </c>
      <c r="B149" s="69" t="str">
        <f>IF('Capital Stack_Incentives'!F9="# months","",'Capital Stack_Incentives'!F9)</f>
        <v/>
      </c>
    </row>
    <row r="150" spans="1:2" s="7" customFormat="1" x14ac:dyDescent="0.35">
      <c r="A150" s="81" t="s">
        <v>149</v>
      </c>
      <c r="B150" s="69" t="str">
        <f>IF('Capital Stack_Incentives'!F10="# months","",'Capital Stack_Incentives'!F10)</f>
        <v/>
      </c>
    </row>
    <row r="151" spans="1:2" s="7" customFormat="1" x14ac:dyDescent="0.35">
      <c r="A151" s="81" t="s">
        <v>150</v>
      </c>
      <c r="B151" s="69" t="str">
        <f>IF('Capital Stack_Incentives'!F11="# months","",'Capital Stack_Incentives'!F11)</f>
        <v/>
      </c>
    </row>
    <row r="152" spans="1:2" s="7" customFormat="1" x14ac:dyDescent="0.35">
      <c r="A152" s="81" t="s">
        <v>151</v>
      </c>
      <c r="B152" s="69" t="str">
        <f>IF('Capital Stack_Incentives'!F12="# months","",'Capital Stack_Incentives'!F12)</f>
        <v/>
      </c>
    </row>
    <row r="153" spans="1:2" x14ac:dyDescent="0.35">
      <c r="A153" s="81" t="s">
        <v>152</v>
      </c>
      <c r="B153" s="69" t="str">
        <f>IF('Capital Stack_Incentives'!F13="# months","",'Capital Stack_Incentives'!F13)</f>
        <v/>
      </c>
    </row>
    <row r="154" spans="1:2" x14ac:dyDescent="0.35">
      <c r="A154" s="81" t="s">
        <v>153</v>
      </c>
      <c r="B154" s="69" t="str">
        <f>IF('Capital Stack_Incentives'!F14="# months","",'Capital Stack_Incentives'!F14)</f>
        <v/>
      </c>
    </row>
    <row r="155" spans="1:2" x14ac:dyDescent="0.35">
      <c r="A155" s="81" t="s">
        <v>154</v>
      </c>
      <c r="B155" s="69" t="str">
        <f>IF('Capital Stack_Incentives'!F15="# months","",'Capital Stack_Incentives'!F15)</f>
        <v/>
      </c>
    </row>
    <row r="156" spans="1:2" x14ac:dyDescent="0.35">
      <c r="A156" s="81" t="s">
        <v>155</v>
      </c>
      <c r="B156" s="69" t="str">
        <f>IF('Capital Stack_Incentives'!F16="# months","",'Capital Stack_Incentives'!F16)</f>
        <v/>
      </c>
    </row>
    <row r="157" spans="1:2" x14ac:dyDescent="0.35">
      <c r="A157" s="81" t="s">
        <v>156</v>
      </c>
      <c r="B157" s="69" t="str">
        <f>IF('Capital Stack_Incentives'!F17="# months","",'Capital Stack_Incentives'!F17)</f>
        <v/>
      </c>
    </row>
    <row r="158" spans="1:2" x14ac:dyDescent="0.35">
      <c r="A158" s="81" t="s">
        <v>157</v>
      </c>
      <c r="B158" s="69" t="str">
        <f>IF('Capital Stack_Incentives'!F18="# months","",'Capital Stack_Incentives'!F18)</f>
        <v/>
      </c>
    </row>
    <row r="159" spans="1:2" x14ac:dyDescent="0.35">
      <c r="A159" s="81" t="s">
        <v>158</v>
      </c>
      <c r="B159" s="69" t="str">
        <f>IF(SUM(B160:B163)&gt;0,"Complex","Simple")</f>
        <v>Simple</v>
      </c>
    </row>
    <row r="160" spans="1:2" x14ac:dyDescent="0.35">
      <c r="A160" s="81" t="s">
        <v>159</v>
      </c>
      <c r="B160" s="69">
        <f>IF('Residential Assumptions'!D9="# units",0,'Residential Assumptions'!D9)</f>
        <v>0</v>
      </c>
    </row>
    <row r="161" spans="1:2" x14ac:dyDescent="0.35">
      <c r="A161" s="81" t="s">
        <v>160</v>
      </c>
      <c r="B161" s="69">
        <f>IF('Residential Assumptions'!D10="# units",0,'Residential Assumptions'!D10)</f>
        <v>0</v>
      </c>
    </row>
    <row r="162" spans="1:2" x14ac:dyDescent="0.35">
      <c r="A162" s="81" t="s">
        <v>161</v>
      </c>
      <c r="B162" s="69">
        <f>IF('Residential Assumptions'!D11="# units",0,'Residential Assumptions'!D11)</f>
        <v>0</v>
      </c>
    </row>
    <row r="163" spans="1:2" x14ac:dyDescent="0.35">
      <c r="A163" s="81" t="s">
        <v>162</v>
      </c>
      <c r="B163" s="69">
        <f>IF('Residential Assumptions'!D12="# units",0,'Residential Assumptions'!D12)</f>
        <v>0</v>
      </c>
    </row>
    <row r="164" spans="1:2" x14ac:dyDescent="0.35">
      <c r="A164" s="81" t="s">
        <v>163</v>
      </c>
      <c r="B164" s="69">
        <f>IF(SUM(B160:B163)&gt;0,SUM(B160:B163),IF('Residential Assumptions'!D13="# units",0,'Residential Assumptions'!D13))</f>
        <v>0</v>
      </c>
    </row>
    <row r="165" spans="1:2" x14ac:dyDescent="0.35">
      <c r="A165" s="81" t="s">
        <v>164</v>
      </c>
      <c r="B165" s="69" t="str">
        <f>IF(SUM(B166:B169)&gt;0,"Complex","Simple")</f>
        <v>Simple</v>
      </c>
    </row>
    <row r="166" spans="1:2" x14ac:dyDescent="0.35">
      <c r="A166" s="81" t="s">
        <v>165</v>
      </c>
      <c r="B166" s="69">
        <f>IF('Residential Assumptions'!F9="# units",0,'Residential Assumptions'!F9)</f>
        <v>0</v>
      </c>
    </row>
    <row r="167" spans="1:2" x14ac:dyDescent="0.35">
      <c r="A167" s="81" t="s">
        <v>166</v>
      </c>
      <c r="B167" s="69">
        <f>IF('Residential Assumptions'!F10="# units",0,'Residential Assumptions'!F10)</f>
        <v>0</v>
      </c>
    </row>
    <row r="168" spans="1:2" x14ac:dyDescent="0.35">
      <c r="A168" s="81" t="s">
        <v>167</v>
      </c>
      <c r="B168" s="69">
        <f>IF('Residential Assumptions'!F11="# units",0,'Residential Assumptions'!F11)</f>
        <v>0</v>
      </c>
    </row>
    <row r="169" spans="1:2" x14ac:dyDescent="0.35">
      <c r="A169" s="81" t="s">
        <v>168</v>
      </c>
      <c r="B169" s="69">
        <f>IF('Residential Assumptions'!F12="# units",0,'Residential Assumptions'!F12)</f>
        <v>0</v>
      </c>
    </row>
    <row r="170" spans="1:2" x14ac:dyDescent="0.35">
      <c r="A170" s="81" t="s">
        <v>169</v>
      </c>
      <c r="B170" s="69">
        <f>IF(SUM(B166:B169)&gt;0,SUM(B166:B169),IF('Residential Assumptions'!F13="# units",0,'Residential Assumptions'!F13))</f>
        <v>0</v>
      </c>
    </row>
    <row r="171" spans="1:2" x14ac:dyDescent="0.35">
      <c r="A171" s="81" t="s">
        <v>170</v>
      </c>
      <c r="B171" s="69">
        <f>IF('Residential Assumptions'!D18="# sf per unit",0,'Residential Assumptions'!D18)</f>
        <v>0</v>
      </c>
    </row>
    <row r="172" spans="1:2" x14ac:dyDescent="0.35">
      <c r="A172" s="81" t="s">
        <v>171</v>
      </c>
      <c r="B172" s="69">
        <f>IF('Residential Assumptions'!D19="# sf per unit",0,'Residential Assumptions'!D19)</f>
        <v>0</v>
      </c>
    </row>
    <row r="173" spans="1:2" x14ac:dyDescent="0.35">
      <c r="A173" s="81" t="s">
        <v>172</v>
      </c>
      <c r="B173" s="69">
        <f>IF('Residential Assumptions'!D20="# sf per unit",0,'Residential Assumptions'!D20)</f>
        <v>0</v>
      </c>
    </row>
    <row r="174" spans="1:2" x14ac:dyDescent="0.35">
      <c r="A174" s="81" t="s">
        <v>173</v>
      </c>
      <c r="B174" s="69">
        <f>IF('Residential Assumptions'!D21="# sf per unit",0,'Residential Assumptions'!D21)</f>
        <v>0</v>
      </c>
    </row>
    <row r="175" spans="1:2" x14ac:dyDescent="0.35">
      <c r="A175" s="81" t="s">
        <v>174</v>
      </c>
      <c r="B175" s="153">
        <f>IF(SUM(B171:B174)&gt;0,SUMPRODUCT(B171:B174,B160:B163)/B164,IF('Residential Assumptions'!D22="# sf per unit",0,'Residential Assumptions'!D22))</f>
        <v>0</v>
      </c>
    </row>
    <row r="176" spans="1:2" x14ac:dyDescent="0.35">
      <c r="A176" s="81" t="s">
        <v>175</v>
      </c>
      <c r="B176" s="69">
        <f>IF('Residential Assumptions'!F18="# sf per unit",0,'Residential Assumptions'!F18)</f>
        <v>0</v>
      </c>
    </row>
    <row r="177" spans="1:3" x14ac:dyDescent="0.35">
      <c r="A177" s="81" t="s">
        <v>176</v>
      </c>
      <c r="B177" s="69">
        <f>IF('Residential Assumptions'!F19="# sf per unit",0,'Residential Assumptions'!F19)</f>
        <v>0</v>
      </c>
      <c r="C177" s="7"/>
    </row>
    <row r="178" spans="1:3" x14ac:dyDescent="0.35">
      <c r="A178" s="81" t="s">
        <v>177</v>
      </c>
      <c r="B178" s="69">
        <f>IF('Residential Assumptions'!F20="# sf per unit",0,'Residential Assumptions'!F20)</f>
        <v>0</v>
      </c>
      <c r="C178" s="7"/>
    </row>
    <row r="179" spans="1:3" x14ac:dyDescent="0.35">
      <c r="A179" s="81" t="s">
        <v>178</v>
      </c>
      <c r="B179" s="69">
        <f>IF('Residential Assumptions'!F21="# sf per unit",0,'Residential Assumptions'!F21)</f>
        <v>0</v>
      </c>
      <c r="C179" s="7"/>
    </row>
    <row r="180" spans="1:3" x14ac:dyDescent="0.35">
      <c r="A180" s="81" t="s">
        <v>179</v>
      </c>
      <c r="B180" s="69">
        <f>IF(SUM(B176:B179)&gt;0,SUMPRODUCT(B176:B179,B166:B169)/B170,IF('Residential Assumptions'!F22="# sf per unit",0,'Residential Assumptions'!F22))</f>
        <v>0</v>
      </c>
      <c r="C180" s="7"/>
    </row>
    <row r="181" spans="1:3" x14ac:dyDescent="0.35">
      <c r="A181" s="81" t="s">
        <v>180</v>
      </c>
      <c r="B181" s="69">
        <f>IF('Residential Assumptions'!D27="$ per sf per month",0,'Residential Assumptions'!D27)</f>
        <v>0</v>
      </c>
      <c r="C181" s="7"/>
    </row>
    <row r="182" spans="1:3" x14ac:dyDescent="0.35">
      <c r="A182" s="81" t="s">
        <v>181</v>
      </c>
      <c r="B182" s="69">
        <f>IF('Residential Assumptions'!D28="$ per sf per month",0,'Residential Assumptions'!D28)</f>
        <v>0</v>
      </c>
      <c r="C182" s="7"/>
    </row>
    <row r="183" spans="1:3" x14ac:dyDescent="0.35">
      <c r="A183" s="81" t="s">
        <v>182</v>
      </c>
      <c r="B183" s="69">
        <f>IF('Residential Assumptions'!D29="$ per sf per month",0,'Residential Assumptions'!D29)</f>
        <v>0</v>
      </c>
      <c r="C183" s="7"/>
    </row>
    <row r="184" spans="1:3" x14ac:dyDescent="0.35">
      <c r="A184" s="81" t="s">
        <v>183</v>
      </c>
      <c r="B184" s="69">
        <f>IF('Residential Assumptions'!D30="$ per sf per month",0,'Residential Assumptions'!D30)</f>
        <v>0</v>
      </c>
      <c r="C184" s="7"/>
    </row>
    <row r="185" spans="1:3" x14ac:dyDescent="0.35">
      <c r="A185" s="81" t="s">
        <v>184</v>
      </c>
      <c r="B185" s="69">
        <f>IF(SUM(B181:B184)&gt;0,SUMPRODUCT(B181:B184,B171:B174,B160:B163)/(B164*B175),IF('Residential Assumptions'!D31="$ per sf per month",0,'Residential Assumptions'!D31))</f>
        <v>0</v>
      </c>
      <c r="C185" s="7"/>
    </row>
    <row r="186" spans="1:3" x14ac:dyDescent="0.35">
      <c r="A186" s="81" t="s">
        <v>185</v>
      </c>
      <c r="B186" s="69">
        <f>IF('Residential Assumptions'!F27="$ per sf per month",0,'Residential Assumptions'!F27)</f>
        <v>0</v>
      </c>
      <c r="C186" s="7"/>
    </row>
    <row r="187" spans="1:3" x14ac:dyDescent="0.35">
      <c r="A187" s="81" t="s">
        <v>186</v>
      </c>
      <c r="B187" s="69">
        <f>IF('Residential Assumptions'!F28="$ per sf per month",0,'Residential Assumptions'!F28)</f>
        <v>0</v>
      </c>
      <c r="C187" s="7"/>
    </row>
    <row r="188" spans="1:3" x14ac:dyDescent="0.35">
      <c r="A188" s="81" t="s">
        <v>187</v>
      </c>
      <c r="B188" s="69">
        <f>IF('Residential Assumptions'!F29="$ per sf per month",0,'Residential Assumptions'!F29)</f>
        <v>0</v>
      </c>
      <c r="C188" s="7"/>
    </row>
    <row r="189" spans="1:3" x14ac:dyDescent="0.35">
      <c r="A189" s="81" t="s">
        <v>188</v>
      </c>
      <c r="B189" s="69">
        <f>IF('Residential Assumptions'!F30="$ per sf per month",0,'Residential Assumptions'!F30)</f>
        <v>0</v>
      </c>
      <c r="C189" s="7"/>
    </row>
    <row r="190" spans="1:3" x14ac:dyDescent="0.35">
      <c r="A190" s="81" t="s">
        <v>189</v>
      </c>
      <c r="B190" s="69">
        <f>IF(SUM(B186:B189)&gt;0,SUMPRODUCT(B186:B189,B176:B179,B166:B169)/(B170*B180),IF('Residential Assumptions'!F31="$ per sf per month",0,'Residential Assumptions'!F31))</f>
        <v>0</v>
      </c>
      <c r="C190" s="7"/>
    </row>
    <row r="191" spans="1:3" x14ac:dyDescent="0.35">
      <c r="A191" s="81" t="s">
        <v>190</v>
      </c>
      <c r="B191" s="69">
        <f>IF('Residential Assumptions'!D36="$ per unit per month",0,'Residential Assumptions'!D36)</f>
        <v>0</v>
      </c>
      <c r="C191" s="7"/>
    </row>
    <row r="192" spans="1:3" x14ac:dyDescent="0.35">
      <c r="A192" s="81" t="s">
        <v>191</v>
      </c>
      <c r="B192" s="69">
        <f>IF('Residential Assumptions'!F36="$ per unit per month",0,'Residential Assumptions'!F36)</f>
        <v>0</v>
      </c>
      <c r="C192" s="7"/>
    </row>
    <row r="193" spans="1:2" x14ac:dyDescent="0.35">
      <c r="A193" s="81" t="s">
        <v>192</v>
      </c>
      <c r="B193" s="69">
        <f>IF('Residential Assumptions'!D41="% per year",0,'Residential Assumptions'!D41)</f>
        <v>0</v>
      </c>
    </row>
    <row r="194" spans="1:2" x14ac:dyDescent="0.35">
      <c r="A194" s="81" t="s">
        <v>193</v>
      </c>
      <c r="B194" s="69">
        <f>IF('Residential Assumptions'!F41="% per year",0,'Residential Assumptions'!F41)</f>
        <v>0</v>
      </c>
    </row>
    <row r="195" spans="1:2" x14ac:dyDescent="0.35">
      <c r="A195" s="78" t="s">
        <v>194</v>
      </c>
      <c r="B195" s="69">
        <f>IF('Residential Assumptions'!D46="% of gpr",0,'Residential Assumptions'!D46)</f>
        <v>0</v>
      </c>
    </row>
    <row r="196" spans="1:2" x14ac:dyDescent="0.35">
      <c r="A196" s="78" t="s">
        <v>195</v>
      </c>
      <c r="B196" s="69">
        <f>IF('Residential Assumptions'!F46="% of gpr",0,'Residential Assumptions'!F46)</f>
        <v>0</v>
      </c>
    </row>
    <row r="197" spans="1:2" x14ac:dyDescent="0.35">
      <c r="A197" s="78" t="s">
        <v>196</v>
      </c>
      <c r="B197" s="69">
        <f>IF('Residential Assumptions'!D47="% of gpr",0,'Residential Assumptions'!D47)</f>
        <v>0</v>
      </c>
    </row>
    <row r="198" spans="1:2" x14ac:dyDescent="0.35">
      <c r="A198" s="78" t="s">
        <v>197</v>
      </c>
      <c r="B198" s="69">
        <f>IF('Residential Assumptions'!F47="% of gpr",0,'Residential Assumptions'!F47)</f>
        <v>0</v>
      </c>
    </row>
    <row r="199" spans="1:2" x14ac:dyDescent="0.35">
      <c r="A199" s="81" t="s">
        <v>198</v>
      </c>
      <c r="B199" s="69" t="str">
        <f>IF(SUM(B200:B208)&gt;0,"Complex","Simple")</f>
        <v>Simple</v>
      </c>
    </row>
    <row r="200" spans="1:2" x14ac:dyDescent="0.35">
      <c r="A200" s="81" t="s">
        <v>199</v>
      </c>
      <c r="B200" s="69">
        <f>IF('Residential Assumptions'!D53="$ per unit per month",0,'Residential Assumptions'!D53)</f>
        <v>0</v>
      </c>
    </row>
    <row r="201" spans="1:2" x14ac:dyDescent="0.35">
      <c r="A201" s="81" t="s">
        <v>200</v>
      </c>
      <c r="B201" s="69">
        <f>IF('Residential Assumptions'!D54="$ per unit per month",0,'Residential Assumptions'!D54)</f>
        <v>0</v>
      </c>
    </row>
    <row r="202" spans="1:2" x14ac:dyDescent="0.35">
      <c r="A202" s="81" t="s">
        <v>201</v>
      </c>
      <c r="B202" s="69">
        <f>IF('Residential Assumptions'!D55="$ per unit per month",0,'Residential Assumptions'!D55)</f>
        <v>0</v>
      </c>
    </row>
    <row r="203" spans="1:2" x14ac:dyDescent="0.35">
      <c r="A203" s="81" t="s">
        <v>202</v>
      </c>
      <c r="B203" s="69">
        <f>IF('Residential Assumptions'!D56="$ per unit per month",0,'Residential Assumptions'!D56)</f>
        <v>0</v>
      </c>
    </row>
    <row r="204" spans="1:2" x14ac:dyDescent="0.35">
      <c r="A204" s="81" t="s">
        <v>203</v>
      </c>
      <c r="B204" s="69">
        <f>IF('Residential Assumptions'!D57="$ per unit per month",0,'Residential Assumptions'!D57)</f>
        <v>0</v>
      </c>
    </row>
    <row r="205" spans="1:2" x14ac:dyDescent="0.35">
      <c r="A205" s="81" t="s">
        <v>204</v>
      </c>
      <c r="B205" s="69">
        <f>IF('Residential Assumptions'!D58="$ per unit per month",0,'Residential Assumptions'!D58)</f>
        <v>0</v>
      </c>
    </row>
    <row r="206" spans="1:2" x14ac:dyDescent="0.35">
      <c r="A206" s="81" t="s">
        <v>205</v>
      </c>
      <c r="B206" s="69">
        <f>IF('Residential Assumptions'!D59="$ per unit per month",0,'Residential Assumptions'!D59)</f>
        <v>0</v>
      </c>
    </row>
    <row r="207" spans="1:2" x14ac:dyDescent="0.35">
      <c r="A207" s="81" t="s">
        <v>206</v>
      </c>
      <c r="B207" s="69">
        <f>IF('Residential Assumptions'!D60="$ per unit per month",0,'Residential Assumptions'!D60)</f>
        <v>0</v>
      </c>
    </row>
    <row r="208" spans="1:2" x14ac:dyDescent="0.35">
      <c r="A208" s="81" t="s">
        <v>207</v>
      </c>
      <c r="B208" s="69">
        <f>IF('Residential Assumptions'!D61="$ per unit per month",0,'Residential Assumptions'!D61)</f>
        <v>0</v>
      </c>
    </row>
    <row r="209" spans="1:2" x14ac:dyDescent="0.35">
      <c r="A209" s="78" t="s">
        <v>208</v>
      </c>
      <c r="B209" s="69">
        <f>IF('Residential Assumptions'!D64="% of egr",0,'Residential Assumptions'!D64)</f>
        <v>0</v>
      </c>
    </row>
    <row r="210" spans="1:2" x14ac:dyDescent="0.35">
      <c r="A210" s="81" t="s">
        <v>209</v>
      </c>
      <c r="B210" s="69" t="str">
        <f>IF(SUM(B211:B219)&gt;0,"Complex","Simple")</f>
        <v>Simple</v>
      </c>
    </row>
    <row r="211" spans="1:2" x14ac:dyDescent="0.35">
      <c r="A211" s="81" t="s">
        <v>210</v>
      </c>
      <c r="B211" s="69">
        <f>IF('Residential Assumptions'!F53="$ per unit per month",0,'Residential Assumptions'!F53)</f>
        <v>0</v>
      </c>
    </row>
    <row r="212" spans="1:2" x14ac:dyDescent="0.35">
      <c r="A212" s="81" t="s">
        <v>211</v>
      </c>
      <c r="B212" s="69">
        <f>IF('Residential Assumptions'!F54="$ per unit per month",0,'Residential Assumptions'!F54)</f>
        <v>0</v>
      </c>
    </row>
    <row r="213" spans="1:2" x14ac:dyDescent="0.35">
      <c r="A213" s="81" t="s">
        <v>212</v>
      </c>
      <c r="B213" s="69">
        <f>IF('Residential Assumptions'!F55="$ per unit per month",0,'Residential Assumptions'!F55)</f>
        <v>0</v>
      </c>
    </row>
    <row r="214" spans="1:2" x14ac:dyDescent="0.35">
      <c r="A214" s="81" t="s">
        <v>213</v>
      </c>
      <c r="B214" s="69">
        <f>IF('Residential Assumptions'!F56="$ per unit per month",0,'Residential Assumptions'!F56)</f>
        <v>0</v>
      </c>
    </row>
    <row r="215" spans="1:2" x14ac:dyDescent="0.35">
      <c r="A215" s="81" t="s">
        <v>214</v>
      </c>
      <c r="B215" s="69">
        <f>IF('Residential Assumptions'!F57="$ per unit per month",0,'Residential Assumptions'!F57)</f>
        <v>0</v>
      </c>
    </row>
    <row r="216" spans="1:2" x14ac:dyDescent="0.35">
      <c r="A216" s="81" t="s">
        <v>215</v>
      </c>
      <c r="B216" s="69">
        <f>IF('Residential Assumptions'!F58="$ per unit per month",0,'Residential Assumptions'!F58)</f>
        <v>0</v>
      </c>
    </row>
    <row r="217" spans="1:2" x14ac:dyDescent="0.35">
      <c r="A217" s="81" t="s">
        <v>216</v>
      </c>
      <c r="B217" s="69">
        <f>IF('Residential Assumptions'!F59="$ per unit per month",0,'Residential Assumptions'!F59)</f>
        <v>0</v>
      </c>
    </row>
    <row r="218" spans="1:2" x14ac:dyDescent="0.35">
      <c r="A218" s="81" t="s">
        <v>217</v>
      </c>
      <c r="B218" s="69">
        <f>IF('Residential Assumptions'!F60="$ per unit per month",0,'Residential Assumptions'!F60)</f>
        <v>0</v>
      </c>
    </row>
    <row r="219" spans="1:2" s="7" customFormat="1" x14ac:dyDescent="0.35">
      <c r="A219" s="81" t="s">
        <v>218</v>
      </c>
      <c r="B219" s="69">
        <f>IF('Residential Assumptions'!F61="$ per unit per month",0,'Residential Assumptions'!F61)</f>
        <v>0</v>
      </c>
    </row>
    <row r="220" spans="1:2" s="7" customFormat="1" x14ac:dyDescent="0.35">
      <c r="A220" s="78" t="s">
        <v>219</v>
      </c>
      <c r="B220" s="69">
        <f>IF('Residential Assumptions'!F64="% of egr",0,'Residential Assumptions'!F64)</f>
        <v>0</v>
      </c>
    </row>
    <row r="221" spans="1:2" s="7" customFormat="1" x14ac:dyDescent="0.35">
      <c r="A221" s="81" t="s">
        <v>220</v>
      </c>
      <c r="B221" s="69">
        <f>IF('Residential Assumptions'!D69="% of egr",0,'Residential Assumptions'!D69)</f>
        <v>0</v>
      </c>
    </row>
    <row r="222" spans="1:2" s="7" customFormat="1" x14ac:dyDescent="0.35">
      <c r="A222" s="81" t="s">
        <v>221</v>
      </c>
      <c r="B222" s="69">
        <f>IF('Residential Assumptions'!F69="% of egr",0,'Residential Assumptions'!F69)</f>
        <v>0</v>
      </c>
    </row>
    <row r="223" spans="1:2" s="7" customFormat="1" x14ac:dyDescent="0.35">
      <c r="A223" s="81" t="s">
        <v>222</v>
      </c>
      <c r="B223" s="69">
        <f>IF('Residential Assumptions'!D70="% of egr",0,'Residential Assumptions'!D70)</f>
        <v>0</v>
      </c>
    </row>
    <row r="224" spans="1:2" s="7" customFormat="1" x14ac:dyDescent="0.35">
      <c r="A224" s="81" t="s">
        <v>223</v>
      </c>
      <c r="B224" s="69">
        <f>IF('Residential Assumptions'!F70="% of egr",0,'Residential Assumptions'!F70)</f>
        <v>0</v>
      </c>
    </row>
    <row r="225" spans="1:2" s="7" customFormat="1" x14ac:dyDescent="0.35">
      <c r="A225" s="81" t="s">
        <v>224</v>
      </c>
      <c r="B225" s="69">
        <f>IF('Residential Assumptions'!D75="% per year",0,'Residential Assumptions'!D75)</f>
        <v>0</v>
      </c>
    </row>
    <row r="226" spans="1:2" s="7" customFormat="1" x14ac:dyDescent="0.35">
      <c r="A226" s="81" t="s">
        <v>225</v>
      </c>
      <c r="B226" s="69">
        <f>IF('Residential Assumptions'!F75="% per year",0,'Residential Assumptions'!F75)</f>
        <v>0</v>
      </c>
    </row>
    <row r="227" spans="1:2" s="7" customFormat="1" x14ac:dyDescent="0.35">
      <c r="A227" s="81" t="s">
        <v>226</v>
      </c>
      <c r="B227" s="69">
        <f>IF('Residential Assumptions'!D80="% of total unit count",0,'Residential Assumptions'!D80)</f>
        <v>0</v>
      </c>
    </row>
    <row r="228" spans="1:2" s="7" customFormat="1" x14ac:dyDescent="0.35">
      <c r="A228" s="81" t="s">
        <v>227</v>
      </c>
      <c r="B228" s="69">
        <f>IF('Residential Assumptions'!F80="% of total unit count",0,'Residential Assumptions'!F80)</f>
        <v>0</v>
      </c>
    </row>
    <row r="229" spans="1:2" s="7" customFormat="1" x14ac:dyDescent="0.35">
      <c r="A229" s="81" t="s">
        <v>228</v>
      </c>
      <c r="B229" s="69">
        <f>IF('Residential Assumptions'!D81="# units per month",0,'Residential Assumptions'!D81)</f>
        <v>0</v>
      </c>
    </row>
    <row r="230" spans="1:2" s="7" customFormat="1" x14ac:dyDescent="0.35">
      <c r="A230" s="81" t="s">
        <v>229</v>
      </c>
      <c r="B230" s="69">
        <f>IF('Residential Assumptions'!F81="# units per month",0,'Residential Assumptions'!F81)</f>
        <v>0</v>
      </c>
    </row>
    <row r="231" spans="1:2" s="7" customFormat="1" x14ac:dyDescent="0.35">
      <c r="A231" s="81" t="s">
        <v>230</v>
      </c>
      <c r="B231" s="69">
        <f>IF('Residential Assumptions'!D86="%",0,'Residential Assumptions'!D86)</f>
        <v>0</v>
      </c>
    </row>
    <row r="232" spans="1:2" s="7" customFormat="1" x14ac:dyDescent="0.35">
      <c r="A232" s="81" t="s">
        <v>231</v>
      </c>
      <c r="B232" s="69">
        <f>IF('Residential Assumptions'!D91="# sf",0,'Residential Assumptions'!D91)</f>
        <v>0</v>
      </c>
    </row>
    <row r="233" spans="1:2" s="7" customFormat="1" x14ac:dyDescent="0.35">
      <c r="A233" s="81" t="s">
        <v>232</v>
      </c>
      <c r="B233" s="69">
        <f>IF('Residential Assumptions'!D92="% of gross sf",0,'Residential Assumptions'!D92)</f>
        <v>0</v>
      </c>
    </row>
    <row r="234" spans="1:2" s="7" customFormat="1" x14ac:dyDescent="0.35">
      <c r="A234" s="81" t="s">
        <v>233</v>
      </c>
      <c r="B234" s="69">
        <f>IF('Residential Assumptions'!D93="% of gross sf",0,'Residential Assumptions'!D93)</f>
        <v>0</v>
      </c>
    </row>
    <row r="235" spans="1:2" s="7" customFormat="1" x14ac:dyDescent="0.35">
      <c r="A235" s="81" t="s">
        <v>234</v>
      </c>
      <c r="B235" s="69">
        <f>IF('Residential Assumptions'!D94="% of gross sf",0,'Residential Assumptions'!D94)</f>
        <v>0</v>
      </c>
    </row>
    <row r="236" spans="1:2" s="7" customFormat="1" x14ac:dyDescent="0.35">
      <c r="A236" s="81" t="s">
        <v>235</v>
      </c>
      <c r="B236" s="69">
        <f>IF('Residential Assumptions'!F91="# sf",0,'Residential Assumptions'!F91)</f>
        <v>0</v>
      </c>
    </row>
    <row r="237" spans="1:2" s="7" customFormat="1" x14ac:dyDescent="0.35">
      <c r="A237" s="81" t="s">
        <v>236</v>
      </c>
      <c r="B237" s="69">
        <f>IF('Residential Assumptions'!F92="% of gross sf",0,'Residential Assumptions'!F92)</f>
        <v>0</v>
      </c>
    </row>
    <row r="238" spans="1:2" s="7" customFormat="1" x14ac:dyDescent="0.35">
      <c r="A238" s="81" t="s">
        <v>237</v>
      </c>
      <c r="B238" s="69">
        <f>IF('Residential Assumptions'!F93="% of gross sf",0,'Residential Assumptions'!F93)</f>
        <v>0</v>
      </c>
    </row>
    <row r="239" spans="1:2" s="7" customFormat="1" x14ac:dyDescent="0.35">
      <c r="A239" s="81" t="s">
        <v>238</v>
      </c>
      <c r="B239" s="69">
        <f>IF('Residential Assumptions'!F94="% of gross sf",0,'Residential Assumptions'!F94)</f>
        <v>0</v>
      </c>
    </row>
    <row r="240" spans="1:2" s="7" customFormat="1" x14ac:dyDescent="0.35">
      <c r="A240" s="81" t="s">
        <v>239</v>
      </c>
      <c r="B240" s="69" t="str">
        <f>'Retail Assumptions'!C9</f>
        <v>name</v>
      </c>
    </row>
    <row r="241" spans="1:2" s="7" customFormat="1" x14ac:dyDescent="0.35">
      <c r="A241" s="81" t="s">
        <v>240</v>
      </c>
      <c r="B241" s="69" t="str">
        <f>'Retail Assumptions'!C10</f>
        <v>name</v>
      </c>
    </row>
    <row r="242" spans="1:2" s="7" customFormat="1" x14ac:dyDescent="0.35">
      <c r="A242" s="81" t="s">
        <v>241</v>
      </c>
      <c r="B242" s="69" t="str">
        <f>'Retail Assumptions'!C11</f>
        <v>name</v>
      </c>
    </row>
    <row r="243" spans="1:2" s="7" customFormat="1" x14ac:dyDescent="0.35">
      <c r="A243" s="81" t="s">
        <v>242</v>
      </c>
      <c r="B243" s="69" t="str">
        <f>'Retail Assumptions'!C12</f>
        <v>name</v>
      </c>
    </row>
    <row r="244" spans="1:2" s="7" customFormat="1" x14ac:dyDescent="0.35">
      <c r="A244" s="81" t="s">
        <v>243</v>
      </c>
      <c r="B244" s="69" t="str">
        <f>'Retail Assumptions'!C13</f>
        <v>name</v>
      </c>
    </row>
    <row r="245" spans="1:2" s="7" customFormat="1" x14ac:dyDescent="0.35">
      <c r="A245" s="81" t="s">
        <v>244</v>
      </c>
      <c r="B245" s="69" t="str">
        <f>'Retail Assumptions'!C14</f>
        <v>name</v>
      </c>
    </row>
    <row r="246" spans="1:2" s="7" customFormat="1" x14ac:dyDescent="0.35">
      <c r="A246" s="81" t="s">
        <v>245</v>
      </c>
      <c r="B246" s="69" t="str">
        <f>'Retail Assumptions'!C15</f>
        <v>name</v>
      </c>
    </row>
    <row r="247" spans="1:2" s="7" customFormat="1" x14ac:dyDescent="0.35">
      <c r="A247" s="81" t="s">
        <v>246</v>
      </c>
      <c r="B247" s="69" t="str">
        <f>'Retail Assumptions'!C16</f>
        <v>name</v>
      </c>
    </row>
    <row r="248" spans="1:2" s="7" customFormat="1" x14ac:dyDescent="0.35">
      <c r="A248" s="81" t="s">
        <v>247</v>
      </c>
      <c r="B248" s="69" t="str">
        <f>'Retail Assumptions'!C17</f>
        <v>name</v>
      </c>
    </row>
    <row r="249" spans="1:2" s="7" customFormat="1" x14ac:dyDescent="0.35">
      <c r="A249" s="81" t="s">
        <v>248</v>
      </c>
      <c r="B249" s="69" t="str">
        <f>'Retail Assumptions'!C18</f>
        <v>name</v>
      </c>
    </row>
    <row r="250" spans="1:2" s="7" customFormat="1" x14ac:dyDescent="0.35">
      <c r="A250" s="81" t="s">
        <v>249</v>
      </c>
      <c r="B250" s="69" t="str">
        <f>IF('Retail Assumptions'!E9="ground floor, small box, big box, outlot","",'Retail Assumptions'!E9)</f>
        <v/>
      </c>
    </row>
    <row r="251" spans="1:2" s="7" customFormat="1" x14ac:dyDescent="0.35">
      <c r="A251" s="81" t="s">
        <v>250</v>
      </c>
      <c r="B251" s="69" t="str">
        <f>IF('Retail Assumptions'!E10="ground floor, small box, big box, outlot","",'Retail Assumptions'!E10)</f>
        <v/>
      </c>
    </row>
    <row r="252" spans="1:2" s="7" customFormat="1" x14ac:dyDescent="0.35">
      <c r="A252" s="81" t="s">
        <v>251</v>
      </c>
      <c r="B252" s="69" t="str">
        <f>IF('Retail Assumptions'!E11="ground floor, small box, big box, outlot","",'Retail Assumptions'!E11)</f>
        <v/>
      </c>
    </row>
    <row r="253" spans="1:2" s="7" customFormat="1" x14ac:dyDescent="0.35">
      <c r="A253" s="81" t="s">
        <v>252</v>
      </c>
      <c r="B253" s="69" t="str">
        <f>IF('Retail Assumptions'!E12="ground floor, small box, big box, outlot","",'Retail Assumptions'!E12)</f>
        <v/>
      </c>
    </row>
    <row r="254" spans="1:2" s="7" customFormat="1" x14ac:dyDescent="0.35">
      <c r="A254" s="81" t="s">
        <v>253</v>
      </c>
      <c r="B254" s="69" t="str">
        <f>IF('Retail Assumptions'!E13="ground floor, small box, big box, outlot","",'Retail Assumptions'!E13)</f>
        <v/>
      </c>
    </row>
    <row r="255" spans="1:2" s="7" customFormat="1" x14ac:dyDescent="0.35">
      <c r="A255" s="81" t="s">
        <v>254</v>
      </c>
      <c r="B255" s="69" t="str">
        <f>IF('Retail Assumptions'!E14="ground floor, small box, big box, outlot","",'Retail Assumptions'!E14)</f>
        <v/>
      </c>
    </row>
    <row r="256" spans="1:2" s="7" customFormat="1" x14ac:dyDescent="0.35">
      <c r="A256" s="81" t="s">
        <v>255</v>
      </c>
      <c r="B256" s="69" t="str">
        <f>IF('Retail Assumptions'!E15="ground floor, small box, big box, outlot","",'Retail Assumptions'!E15)</f>
        <v/>
      </c>
    </row>
    <row r="257" spans="1:2" s="7" customFormat="1" x14ac:dyDescent="0.35">
      <c r="A257" s="81" t="s">
        <v>256</v>
      </c>
      <c r="B257" s="69" t="str">
        <f>IF('Retail Assumptions'!E16="ground floor, small box, big box, outlot","",'Retail Assumptions'!E16)</f>
        <v/>
      </c>
    </row>
    <row r="258" spans="1:2" s="7" customFormat="1" x14ac:dyDescent="0.35">
      <c r="A258" s="81" t="s">
        <v>257</v>
      </c>
      <c r="B258" s="69" t="str">
        <f>IF('Retail Assumptions'!E17="ground floor, small box, big box, outlot","",'Retail Assumptions'!E17)</f>
        <v/>
      </c>
    </row>
    <row r="259" spans="1:2" s="7" customFormat="1" x14ac:dyDescent="0.35">
      <c r="A259" s="81" t="s">
        <v>258</v>
      </c>
      <c r="B259" s="69" t="str">
        <f>IF('Retail Assumptions'!E18="ground floor, small box, big box, outlot","",'Retail Assumptions'!E18)</f>
        <v/>
      </c>
    </row>
    <row r="260" spans="1:2" s="7" customFormat="1" x14ac:dyDescent="0.35">
      <c r="A260" s="81" t="s">
        <v>259</v>
      </c>
      <c r="B260" s="69" t="str">
        <f>IF('Retail Assumptions'!G9="# sf","",'Retail Assumptions'!G9)</f>
        <v/>
      </c>
    </row>
    <row r="261" spans="1:2" s="7" customFormat="1" x14ac:dyDescent="0.35">
      <c r="A261" s="81" t="s">
        <v>260</v>
      </c>
      <c r="B261" s="69" t="str">
        <f>IF('Retail Assumptions'!G10="# sf","",'Retail Assumptions'!G10)</f>
        <v/>
      </c>
    </row>
    <row r="262" spans="1:2" s="7" customFormat="1" x14ac:dyDescent="0.35">
      <c r="A262" s="81" t="s">
        <v>261</v>
      </c>
      <c r="B262" s="69" t="str">
        <f>IF('Retail Assumptions'!G11="# sf","",'Retail Assumptions'!G11)</f>
        <v/>
      </c>
    </row>
    <row r="263" spans="1:2" s="7" customFormat="1" x14ac:dyDescent="0.35">
      <c r="A263" s="81" t="s">
        <v>262</v>
      </c>
      <c r="B263" s="69" t="str">
        <f>IF('Retail Assumptions'!G12="# sf","",'Retail Assumptions'!G12)</f>
        <v/>
      </c>
    </row>
    <row r="264" spans="1:2" s="7" customFormat="1" x14ac:dyDescent="0.35">
      <c r="A264" s="81" t="s">
        <v>263</v>
      </c>
      <c r="B264" s="69" t="str">
        <f>IF('Retail Assumptions'!G13="# sf","",'Retail Assumptions'!G13)</f>
        <v/>
      </c>
    </row>
    <row r="265" spans="1:2" s="7" customFormat="1" x14ac:dyDescent="0.35">
      <c r="A265" s="81" t="s">
        <v>264</v>
      </c>
      <c r="B265" s="69" t="str">
        <f>IF('Retail Assumptions'!G14="# sf","",'Retail Assumptions'!G14)</f>
        <v/>
      </c>
    </row>
    <row r="266" spans="1:2" s="7" customFormat="1" x14ac:dyDescent="0.35">
      <c r="A266" s="81" t="s">
        <v>265</v>
      </c>
      <c r="B266" s="69" t="str">
        <f>IF('Retail Assumptions'!G15="# sf","",'Retail Assumptions'!G15)</f>
        <v/>
      </c>
    </row>
    <row r="267" spans="1:2" s="7" customFormat="1" x14ac:dyDescent="0.35">
      <c r="A267" s="81" t="s">
        <v>266</v>
      </c>
      <c r="B267" s="69" t="str">
        <f>IF('Retail Assumptions'!G16="# sf","",'Retail Assumptions'!G16)</f>
        <v/>
      </c>
    </row>
    <row r="268" spans="1:2" s="7" customFormat="1" x14ac:dyDescent="0.35">
      <c r="A268" s="81" t="s">
        <v>267</v>
      </c>
      <c r="B268" s="69" t="str">
        <f>IF('Retail Assumptions'!G17="# sf","",'Retail Assumptions'!G17)</f>
        <v/>
      </c>
    </row>
    <row r="269" spans="1:2" s="7" customFormat="1" x14ac:dyDescent="0.35">
      <c r="A269" s="81" t="s">
        <v>268</v>
      </c>
      <c r="B269" s="69" t="str">
        <f>IF('Retail Assumptions'!G18="# sf","",'Retail Assumptions'!G18)</f>
        <v/>
      </c>
    </row>
    <row r="270" spans="1:2" s="7" customFormat="1" x14ac:dyDescent="0.35">
      <c r="A270" s="81" t="s">
        <v>269</v>
      </c>
      <c r="B270" s="69" t="str">
        <f>IF('Retail Assumptions'!I9="mm/dd/yyyy","",'Retail Assumptions'!I9)</f>
        <v/>
      </c>
    </row>
    <row r="271" spans="1:2" s="7" customFormat="1" x14ac:dyDescent="0.35">
      <c r="A271" s="81" t="s">
        <v>270</v>
      </c>
      <c r="B271" s="69" t="str">
        <f>IF('Retail Assumptions'!I10="mm/dd/yyyy","",'Retail Assumptions'!I10)</f>
        <v/>
      </c>
    </row>
    <row r="272" spans="1:2" s="7" customFormat="1" x14ac:dyDescent="0.35">
      <c r="A272" s="81" t="s">
        <v>271</v>
      </c>
      <c r="B272" s="69" t="str">
        <f>IF('Retail Assumptions'!I11="mm/dd/yyyy","",'Retail Assumptions'!I11)</f>
        <v/>
      </c>
    </row>
    <row r="273" spans="1:2" s="7" customFormat="1" x14ac:dyDescent="0.35">
      <c r="A273" s="81" t="s">
        <v>272</v>
      </c>
      <c r="B273" s="69" t="str">
        <f>IF('Retail Assumptions'!I12="mm/dd/yyyy","",'Retail Assumptions'!I12)</f>
        <v/>
      </c>
    </row>
    <row r="274" spans="1:2" s="7" customFormat="1" x14ac:dyDescent="0.35">
      <c r="A274" s="81" t="s">
        <v>273</v>
      </c>
      <c r="B274" s="69" t="str">
        <f>IF('Retail Assumptions'!I13="mm/dd/yyyy","",'Retail Assumptions'!I13)</f>
        <v/>
      </c>
    </row>
    <row r="275" spans="1:2" s="7" customFormat="1" x14ac:dyDescent="0.35">
      <c r="A275" s="81" t="s">
        <v>274</v>
      </c>
      <c r="B275" s="69" t="str">
        <f>IF('Retail Assumptions'!I14="mm/dd/yyyy","",'Retail Assumptions'!I14)</f>
        <v/>
      </c>
    </row>
    <row r="276" spans="1:2" s="7" customFormat="1" x14ac:dyDescent="0.35">
      <c r="A276" s="81" t="s">
        <v>275</v>
      </c>
      <c r="B276" s="69" t="str">
        <f>IF('Retail Assumptions'!I15="mm/dd/yyyy","",'Retail Assumptions'!I15)</f>
        <v/>
      </c>
    </row>
    <row r="277" spans="1:2" s="7" customFormat="1" x14ac:dyDescent="0.35">
      <c r="A277" s="81" t="s">
        <v>276</v>
      </c>
      <c r="B277" s="69" t="str">
        <f>IF('Retail Assumptions'!I16="mm/dd/yyyy","",'Retail Assumptions'!I16)</f>
        <v/>
      </c>
    </row>
    <row r="278" spans="1:2" s="7" customFormat="1" x14ac:dyDescent="0.35">
      <c r="A278" s="81" t="s">
        <v>277</v>
      </c>
      <c r="B278" s="69" t="str">
        <f>IF('Retail Assumptions'!I17="mm/dd/yyyy","",'Retail Assumptions'!I17)</f>
        <v/>
      </c>
    </row>
    <row r="279" spans="1:2" s="7" customFormat="1" x14ac:dyDescent="0.35">
      <c r="A279" s="81" t="s">
        <v>278</v>
      </c>
      <c r="B279" s="69" t="str">
        <f>IF('Retail Assumptions'!I18="mm/dd/yyyy","",'Retail Assumptions'!I18)</f>
        <v/>
      </c>
    </row>
    <row r="280" spans="1:2" s="7" customFormat="1" x14ac:dyDescent="0.35">
      <c r="A280" s="81" t="s">
        <v>279</v>
      </c>
      <c r="B280" s="69" t="str">
        <f>IF('Retail Assumptions'!C21="# years","",'Retail Assumptions'!C21)</f>
        <v/>
      </c>
    </row>
    <row r="281" spans="1:2" s="7" customFormat="1" x14ac:dyDescent="0.35">
      <c r="A281" s="81" t="s">
        <v>280</v>
      </c>
      <c r="B281" s="69" t="str">
        <f>IF('Retail Assumptions'!C22="# years","",'Retail Assumptions'!C22)</f>
        <v/>
      </c>
    </row>
    <row r="282" spans="1:2" s="7" customFormat="1" x14ac:dyDescent="0.35">
      <c r="A282" s="81" t="s">
        <v>281</v>
      </c>
      <c r="B282" s="69" t="str">
        <f>IF('Retail Assumptions'!C23="# years","",'Retail Assumptions'!C23)</f>
        <v/>
      </c>
    </row>
    <row r="283" spans="1:2" s="7" customFormat="1" x14ac:dyDescent="0.35">
      <c r="A283" s="81" t="s">
        <v>282</v>
      </c>
      <c r="B283" s="69" t="str">
        <f>IF('Retail Assumptions'!C24="# years","",'Retail Assumptions'!C24)</f>
        <v/>
      </c>
    </row>
    <row r="284" spans="1:2" s="7" customFormat="1" x14ac:dyDescent="0.35">
      <c r="A284" s="81" t="s">
        <v>283</v>
      </c>
      <c r="B284" s="69" t="str">
        <f>IF('Retail Assumptions'!C25="# years","",'Retail Assumptions'!C25)</f>
        <v/>
      </c>
    </row>
    <row r="285" spans="1:2" s="7" customFormat="1" x14ac:dyDescent="0.35">
      <c r="A285" s="81" t="s">
        <v>284</v>
      </c>
      <c r="B285" s="69" t="str">
        <f>IF('Retail Assumptions'!C26="# years","",'Retail Assumptions'!C26)</f>
        <v/>
      </c>
    </row>
    <row r="286" spans="1:2" s="7" customFormat="1" x14ac:dyDescent="0.35">
      <c r="A286" s="81" t="s">
        <v>285</v>
      </c>
      <c r="B286" s="69" t="str">
        <f>IF('Retail Assumptions'!C27="# years","",'Retail Assumptions'!C27)</f>
        <v/>
      </c>
    </row>
    <row r="287" spans="1:2" s="7" customFormat="1" x14ac:dyDescent="0.35">
      <c r="A287" s="81" t="s">
        <v>286</v>
      </c>
      <c r="B287" s="69" t="str">
        <f>IF('Retail Assumptions'!C28="# years","",'Retail Assumptions'!C28)</f>
        <v/>
      </c>
    </row>
    <row r="288" spans="1:2" s="7" customFormat="1" x14ac:dyDescent="0.35">
      <c r="A288" s="81" t="s">
        <v>287</v>
      </c>
      <c r="B288" s="69" t="str">
        <f>IF('Retail Assumptions'!C29="# years","",'Retail Assumptions'!C29)</f>
        <v/>
      </c>
    </row>
    <row r="289" spans="1:2" s="7" customFormat="1" x14ac:dyDescent="0.35">
      <c r="A289" s="81" t="s">
        <v>288</v>
      </c>
      <c r="B289" s="69" t="str">
        <f>IF('Retail Assumptions'!C30="# years","",'Retail Assumptions'!C30)</f>
        <v/>
      </c>
    </row>
    <row r="290" spans="1:2" s="7" customFormat="1" x14ac:dyDescent="0.35">
      <c r="A290" s="81" t="s">
        <v>289</v>
      </c>
      <c r="B290" s="69" t="str">
        <f>IF('Retail Assumptions'!E21="$ per sf per year","",'Retail Assumptions'!E21)</f>
        <v/>
      </c>
    </row>
    <row r="291" spans="1:2" s="7" customFormat="1" x14ac:dyDescent="0.35">
      <c r="A291" s="81" t="s">
        <v>290</v>
      </c>
      <c r="B291" s="69" t="str">
        <f>IF('Retail Assumptions'!E22="$ per sf per year","",'Retail Assumptions'!E22)</f>
        <v/>
      </c>
    </row>
    <row r="292" spans="1:2" s="7" customFormat="1" x14ac:dyDescent="0.35">
      <c r="A292" s="81" t="s">
        <v>291</v>
      </c>
      <c r="B292" s="69" t="str">
        <f>IF('Retail Assumptions'!E23="$ per sf per year","",'Retail Assumptions'!E23)</f>
        <v/>
      </c>
    </row>
    <row r="293" spans="1:2" s="7" customFormat="1" x14ac:dyDescent="0.35">
      <c r="A293" s="81" t="s">
        <v>292</v>
      </c>
      <c r="B293" s="69" t="str">
        <f>IF('Retail Assumptions'!E24="$ per sf per year","",'Retail Assumptions'!E24)</f>
        <v/>
      </c>
    </row>
    <row r="294" spans="1:2" s="7" customFormat="1" x14ac:dyDescent="0.35">
      <c r="A294" s="81" t="s">
        <v>293</v>
      </c>
      <c r="B294" s="69" t="str">
        <f>IF('Retail Assumptions'!E25="$ per sf per year","",'Retail Assumptions'!E25)</f>
        <v/>
      </c>
    </row>
    <row r="295" spans="1:2" s="7" customFormat="1" x14ac:dyDescent="0.35">
      <c r="A295" s="81" t="s">
        <v>294</v>
      </c>
      <c r="B295" s="69" t="str">
        <f>IF('Retail Assumptions'!E26="$ per sf per year","",'Retail Assumptions'!E26)</f>
        <v/>
      </c>
    </row>
    <row r="296" spans="1:2" s="7" customFormat="1" x14ac:dyDescent="0.35">
      <c r="A296" s="81" t="s">
        <v>295</v>
      </c>
      <c r="B296" s="69" t="str">
        <f>IF('Retail Assumptions'!E27="$ per sf per year","",'Retail Assumptions'!E27)</f>
        <v/>
      </c>
    </row>
    <row r="297" spans="1:2" s="7" customFormat="1" x14ac:dyDescent="0.35">
      <c r="A297" s="81" t="s">
        <v>296</v>
      </c>
      <c r="B297" s="69" t="str">
        <f>IF('Retail Assumptions'!E28="$ per sf per year","",'Retail Assumptions'!E28)</f>
        <v/>
      </c>
    </row>
    <row r="298" spans="1:2" s="7" customFormat="1" x14ac:dyDescent="0.35">
      <c r="A298" s="81" t="s">
        <v>297</v>
      </c>
      <c r="B298" s="69" t="str">
        <f>IF('Retail Assumptions'!E29="$ per sf per year","",'Retail Assumptions'!E29)</f>
        <v/>
      </c>
    </row>
    <row r="299" spans="1:2" s="7" customFormat="1" x14ac:dyDescent="0.35">
      <c r="A299" s="81" t="s">
        <v>298</v>
      </c>
      <c r="B299" s="69" t="str">
        <f>IF('Retail Assumptions'!E30="$ per sf per year","",'Retail Assumptions'!E30)</f>
        <v/>
      </c>
    </row>
    <row r="300" spans="1:2" s="7" customFormat="1" x14ac:dyDescent="0.35">
      <c r="A300" s="81" t="s">
        <v>299</v>
      </c>
      <c r="B300" s="69" t="str">
        <f>IF('Retail Assumptions'!G21="%","",'Retail Assumptions'!G21)</f>
        <v/>
      </c>
    </row>
    <row r="301" spans="1:2" s="7" customFormat="1" x14ac:dyDescent="0.35">
      <c r="A301" s="81" t="s">
        <v>300</v>
      </c>
      <c r="B301" s="69" t="str">
        <f>IF('Retail Assumptions'!G22="%","",'Retail Assumptions'!G22)</f>
        <v/>
      </c>
    </row>
    <row r="302" spans="1:2" s="7" customFormat="1" x14ac:dyDescent="0.35">
      <c r="A302" s="81" t="s">
        <v>301</v>
      </c>
      <c r="B302" s="69" t="str">
        <f>IF('Retail Assumptions'!G23="%","",'Retail Assumptions'!G23)</f>
        <v/>
      </c>
    </row>
    <row r="303" spans="1:2" s="7" customFormat="1" x14ac:dyDescent="0.35">
      <c r="A303" s="81" t="s">
        <v>302</v>
      </c>
      <c r="B303" s="69" t="str">
        <f>IF('Retail Assumptions'!G24="%","",'Retail Assumptions'!G24)</f>
        <v/>
      </c>
    </row>
    <row r="304" spans="1:2" s="7" customFormat="1" x14ac:dyDescent="0.35">
      <c r="A304" s="81" t="s">
        <v>303</v>
      </c>
      <c r="B304" s="69" t="str">
        <f>IF('Retail Assumptions'!G25="%","",'Retail Assumptions'!G25)</f>
        <v/>
      </c>
    </row>
    <row r="305" spans="1:2" s="7" customFormat="1" x14ac:dyDescent="0.35">
      <c r="A305" s="81" t="s">
        <v>304</v>
      </c>
      <c r="B305" s="69" t="str">
        <f>IF('Retail Assumptions'!G26="%","",'Retail Assumptions'!G26)</f>
        <v/>
      </c>
    </row>
    <row r="306" spans="1:2" s="7" customFormat="1" x14ac:dyDescent="0.35">
      <c r="A306" s="81" t="s">
        <v>305</v>
      </c>
      <c r="B306" s="69" t="str">
        <f>IF('Retail Assumptions'!G27="%","",'Retail Assumptions'!G27)</f>
        <v/>
      </c>
    </row>
    <row r="307" spans="1:2" s="7" customFormat="1" x14ac:dyDescent="0.35">
      <c r="A307" s="81" t="s">
        <v>306</v>
      </c>
      <c r="B307" s="69" t="str">
        <f>IF('Retail Assumptions'!G28="%","",'Retail Assumptions'!G28)</f>
        <v/>
      </c>
    </row>
    <row r="308" spans="1:2" s="7" customFormat="1" x14ac:dyDescent="0.35">
      <c r="A308" s="81" t="s">
        <v>307</v>
      </c>
      <c r="B308" s="69" t="str">
        <f>IF('Retail Assumptions'!G29="%","",'Retail Assumptions'!G29)</f>
        <v/>
      </c>
    </row>
    <row r="309" spans="1:2" s="7" customFormat="1" x14ac:dyDescent="0.35">
      <c r="A309" s="81" t="s">
        <v>308</v>
      </c>
      <c r="B309" s="69" t="str">
        <f>IF('Retail Assumptions'!G30="%","",'Retail Assumptions'!G30)</f>
        <v/>
      </c>
    </row>
    <row r="310" spans="1:2" s="7" customFormat="1" x14ac:dyDescent="0.35">
      <c r="A310" s="81" t="s">
        <v>309</v>
      </c>
      <c r="B310" s="69" t="str">
        <f>IF('Retail Assumptions'!I21="every # months","",'Retail Assumptions'!I21)</f>
        <v/>
      </c>
    </row>
    <row r="311" spans="1:2" s="7" customFormat="1" x14ac:dyDescent="0.35">
      <c r="A311" s="81" t="s">
        <v>310</v>
      </c>
      <c r="B311" s="69" t="str">
        <f>IF('Retail Assumptions'!I22="every # months","",'Retail Assumptions'!I22)</f>
        <v/>
      </c>
    </row>
    <row r="312" spans="1:2" s="7" customFormat="1" x14ac:dyDescent="0.35">
      <c r="A312" s="81" t="s">
        <v>311</v>
      </c>
      <c r="B312" s="69" t="str">
        <f>IF('Retail Assumptions'!I23="every # months","",'Retail Assumptions'!I23)</f>
        <v/>
      </c>
    </row>
    <row r="313" spans="1:2" s="7" customFormat="1" x14ac:dyDescent="0.35">
      <c r="A313" s="81" t="s">
        <v>312</v>
      </c>
      <c r="B313" s="69" t="str">
        <f>IF('Retail Assumptions'!I24="every # months","",'Retail Assumptions'!I24)</f>
        <v/>
      </c>
    </row>
    <row r="314" spans="1:2" s="7" customFormat="1" x14ac:dyDescent="0.35">
      <c r="A314" s="81" t="s">
        <v>313</v>
      </c>
      <c r="B314" s="69" t="str">
        <f>IF('Retail Assumptions'!I25="every # months","",'Retail Assumptions'!I25)</f>
        <v/>
      </c>
    </row>
    <row r="315" spans="1:2" s="7" customFormat="1" x14ac:dyDescent="0.35">
      <c r="A315" s="81" t="s">
        <v>314</v>
      </c>
      <c r="B315" s="69" t="str">
        <f>IF('Retail Assumptions'!I26="every # months","",'Retail Assumptions'!I26)</f>
        <v/>
      </c>
    </row>
    <row r="316" spans="1:2" s="7" customFormat="1" x14ac:dyDescent="0.35">
      <c r="A316" s="81" t="s">
        <v>315</v>
      </c>
      <c r="B316" s="69" t="str">
        <f>IF('Retail Assumptions'!I27="every # months","",'Retail Assumptions'!I27)</f>
        <v/>
      </c>
    </row>
    <row r="317" spans="1:2" s="7" customFormat="1" x14ac:dyDescent="0.35">
      <c r="A317" s="81" t="s">
        <v>316</v>
      </c>
      <c r="B317" s="69" t="str">
        <f>IF('Retail Assumptions'!I28="every # months","",'Retail Assumptions'!I28)</f>
        <v/>
      </c>
    </row>
    <row r="318" spans="1:2" s="7" customFormat="1" x14ac:dyDescent="0.35">
      <c r="A318" s="81" t="s">
        <v>317</v>
      </c>
      <c r="B318" s="69" t="str">
        <f>IF('Retail Assumptions'!I29="every # months","",'Retail Assumptions'!I29)</f>
        <v/>
      </c>
    </row>
    <row r="319" spans="1:2" s="7" customFormat="1" x14ac:dyDescent="0.35">
      <c r="A319" s="81" t="s">
        <v>318</v>
      </c>
      <c r="B319" s="69" t="str">
        <f>IF('Retail Assumptions'!I30="every # months","",'Retail Assumptions'!I30)</f>
        <v/>
      </c>
    </row>
    <row r="320" spans="1:2" s="7" customFormat="1" x14ac:dyDescent="0.35">
      <c r="A320" s="81" t="s">
        <v>319</v>
      </c>
      <c r="B320" s="69" t="str">
        <f>IF('Retail Assumptions'!C33="% of lease value","",'Retail Assumptions'!C33)</f>
        <v/>
      </c>
    </row>
    <row r="321" spans="1:2" s="7" customFormat="1" x14ac:dyDescent="0.35">
      <c r="A321" s="81" t="s">
        <v>320</v>
      </c>
      <c r="B321" s="69" t="str">
        <f>IF('Retail Assumptions'!C34="% of lease value","",'Retail Assumptions'!C34)</f>
        <v/>
      </c>
    </row>
    <row r="322" spans="1:2" s="7" customFormat="1" x14ac:dyDescent="0.35">
      <c r="A322" s="81" t="s">
        <v>321</v>
      </c>
      <c r="B322" s="69" t="str">
        <f>IF('Retail Assumptions'!C35="% of lease value","",'Retail Assumptions'!C35)</f>
        <v/>
      </c>
    </row>
    <row r="323" spans="1:2" s="7" customFormat="1" x14ac:dyDescent="0.35">
      <c r="A323" s="81" t="s">
        <v>322</v>
      </c>
      <c r="B323" s="69" t="str">
        <f>IF('Retail Assumptions'!C36="% of lease value","",'Retail Assumptions'!C36)</f>
        <v/>
      </c>
    </row>
    <row r="324" spans="1:2" s="7" customFormat="1" x14ac:dyDescent="0.35">
      <c r="A324" s="81" t="s">
        <v>323</v>
      </c>
      <c r="B324" s="69" t="str">
        <f>IF('Retail Assumptions'!C37="% of lease value","",'Retail Assumptions'!C37)</f>
        <v/>
      </c>
    </row>
    <row r="325" spans="1:2" s="7" customFormat="1" x14ac:dyDescent="0.35">
      <c r="A325" s="81" t="s">
        <v>324</v>
      </c>
      <c r="B325" s="69" t="str">
        <f>IF('Retail Assumptions'!C38="% of lease value","",'Retail Assumptions'!C38)</f>
        <v/>
      </c>
    </row>
    <row r="326" spans="1:2" s="7" customFormat="1" x14ac:dyDescent="0.35">
      <c r="A326" s="81" t="s">
        <v>325</v>
      </c>
      <c r="B326" s="69" t="str">
        <f>IF('Retail Assumptions'!C39="% of lease value","",'Retail Assumptions'!C39)</f>
        <v/>
      </c>
    </row>
    <row r="327" spans="1:2" s="7" customFormat="1" x14ac:dyDescent="0.35">
      <c r="A327" s="81" t="s">
        <v>326</v>
      </c>
      <c r="B327" s="69" t="str">
        <f>IF('Retail Assumptions'!C40="% of lease value","",'Retail Assumptions'!C40)</f>
        <v/>
      </c>
    </row>
    <row r="328" spans="1:2" s="7" customFormat="1" x14ac:dyDescent="0.35">
      <c r="A328" s="81" t="s">
        <v>327</v>
      </c>
      <c r="B328" s="69" t="str">
        <f>IF('Retail Assumptions'!C41="% of lease value","",'Retail Assumptions'!C41)</f>
        <v/>
      </c>
    </row>
    <row r="329" spans="1:2" s="7" customFormat="1" x14ac:dyDescent="0.35">
      <c r="A329" s="81" t="s">
        <v>328</v>
      </c>
      <c r="B329" s="69" t="str">
        <f>IF('Retail Assumptions'!C42="% of lease value","",'Retail Assumptions'!C42)</f>
        <v/>
      </c>
    </row>
    <row r="330" spans="1:2" s="7" customFormat="1" x14ac:dyDescent="0.35">
      <c r="A330" s="81" t="s">
        <v>329</v>
      </c>
      <c r="B330" s="69" t="str">
        <f>IF('Retail Assumptions'!E33="$ per rentable sf","",'Retail Assumptions'!E33)</f>
        <v/>
      </c>
    </row>
    <row r="331" spans="1:2" s="7" customFormat="1" x14ac:dyDescent="0.35">
      <c r="A331" s="81" t="s">
        <v>330</v>
      </c>
      <c r="B331" s="69" t="str">
        <f>IF('Retail Assumptions'!E34="$ per rentable sf","",'Retail Assumptions'!E34)</f>
        <v/>
      </c>
    </row>
    <row r="332" spans="1:2" s="7" customFormat="1" x14ac:dyDescent="0.35">
      <c r="A332" s="81" t="s">
        <v>331</v>
      </c>
      <c r="B332" s="69" t="str">
        <f>IF('Retail Assumptions'!E35="$ per rentable sf","",'Retail Assumptions'!E35)</f>
        <v/>
      </c>
    </row>
    <row r="333" spans="1:2" s="7" customFormat="1" x14ac:dyDescent="0.35">
      <c r="A333" s="81" t="s">
        <v>332</v>
      </c>
      <c r="B333" s="69" t="str">
        <f>IF('Retail Assumptions'!E36="$ per rentable sf","",'Retail Assumptions'!E36)</f>
        <v/>
      </c>
    </row>
    <row r="334" spans="1:2" s="7" customFormat="1" x14ac:dyDescent="0.35">
      <c r="A334" s="81" t="s">
        <v>333</v>
      </c>
      <c r="B334" s="69" t="str">
        <f>IF('Retail Assumptions'!E37="$ per rentable sf","",'Retail Assumptions'!E37)</f>
        <v/>
      </c>
    </row>
    <row r="335" spans="1:2" s="7" customFormat="1" x14ac:dyDescent="0.35">
      <c r="A335" s="81" t="s">
        <v>334</v>
      </c>
      <c r="B335" s="69" t="str">
        <f>IF('Retail Assumptions'!E38="$ per rentable sf","",'Retail Assumptions'!E38)</f>
        <v/>
      </c>
    </row>
    <row r="336" spans="1:2" s="7" customFormat="1" x14ac:dyDescent="0.35">
      <c r="A336" s="81" t="s">
        <v>335</v>
      </c>
      <c r="B336" s="69" t="str">
        <f>IF('Retail Assumptions'!E39="$ per rentable sf","",'Retail Assumptions'!E39)</f>
        <v/>
      </c>
    </row>
    <row r="337" spans="1:2" s="7" customFormat="1" x14ac:dyDescent="0.35">
      <c r="A337" s="81" t="s">
        <v>336</v>
      </c>
      <c r="B337" s="69" t="str">
        <f>IF('Retail Assumptions'!E40="$ per rentable sf","",'Retail Assumptions'!E40)</f>
        <v/>
      </c>
    </row>
    <row r="338" spans="1:2" s="7" customFormat="1" x14ac:dyDescent="0.35">
      <c r="A338" s="81" t="s">
        <v>337</v>
      </c>
      <c r="B338" s="69" t="str">
        <f>IF('Retail Assumptions'!E41="$ per rentable sf","",'Retail Assumptions'!E41)</f>
        <v/>
      </c>
    </row>
    <row r="339" spans="1:2" s="7" customFormat="1" x14ac:dyDescent="0.35">
      <c r="A339" s="81" t="s">
        <v>338</v>
      </c>
      <c r="B339" s="69" t="str">
        <f>IF('Retail Assumptions'!E42="$ per rentable sf","",'Retail Assumptions'!E42)</f>
        <v/>
      </c>
    </row>
    <row r="340" spans="1:2" s="7" customFormat="1" x14ac:dyDescent="0.35">
      <c r="A340" s="81" t="s">
        <v>339</v>
      </c>
      <c r="B340" s="69" t="str">
        <f>IF('Retail Assumptions'!G33="# months","",'Retail Assumptions'!G33)</f>
        <v/>
      </c>
    </row>
    <row r="341" spans="1:2" s="7" customFormat="1" x14ac:dyDescent="0.35">
      <c r="A341" s="81" t="s">
        <v>340</v>
      </c>
      <c r="B341" s="69" t="str">
        <f>IF('Retail Assumptions'!G34="# months","",'Retail Assumptions'!G34)</f>
        <v/>
      </c>
    </row>
    <row r="342" spans="1:2" s="7" customFormat="1" x14ac:dyDescent="0.35">
      <c r="A342" s="81" t="s">
        <v>341</v>
      </c>
      <c r="B342" s="69" t="str">
        <f>IF('Retail Assumptions'!G35="# months","",'Retail Assumptions'!G35)</f>
        <v/>
      </c>
    </row>
    <row r="343" spans="1:2" s="7" customFormat="1" x14ac:dyDescent="0.35">
      <c r="A343" s="81" t="s">
        <v>342</v>
      </c>
      <c r="B343" s="69" t="str">
        <f>IF('Retail Assumptions'!G36="# months","",'Retail Assumptions'!G36)</f>
        <v/>
      </c>
    </row>
    <row r="344" spans="1:2" s="7" customFormat="1" x14ac:dyDescent="0.35">
      <c r="A344" s="81" t="s">
        <v>343</v>
      </c>
      <c r="B344" s="69" t="str">
        <f>IF('Retail Assumptions'!G37="# months","",'Retail Assumptions'!G37)</f>
        <v/>
      </c>
    </row>
    <row r="345" spans="1:2" s="7" customFormat="1" x14ac:dyDescent="0.35">
      <c r="A345" s="81" t="s">
        <v>344</v>
      </c>
      <c r="B345" s="69" t="str">
        <f>IF('Retail Assumptions'!G38="# months","",'Retail Assumptions'!G38)</f>
        <v/>
      </c>
    </row>
    <row r="346" spans="1:2" s="7" customFormat="1" x14ac:dyDescent="0.35">
      <c r="A346" s="81" t="s">
        <v>345</v>
      </c>
      <c r="B346" s="69" t="str">
        <f>IF('Retail Assumptions'!G39="# months","",'Retail Assumptions'!G39)</f>
        <v/>
      </c>
    </row>
    <row r="347" spans="1:2" s="7" customFormat="1" x14ac:dyDescent="0.35">
      <c r="A347" s="81" t="s">
        <v>346</v>
      </c>
      <c r="B347" s="69" t="str">
        <f>IF('Retail Assumptions'!G40="# months","",'Retail Assumptions'!G40)</f>
        <v/>
      </c>
    </row>
    <row r="348" spans="1:2" s="7" customFormat="1" x14ac:dyDescent="0.35">
      <c r="A348" s="81" t="s">
        <v>347</v>
      </c>
      <c r="B348" s="69" t="str">
        <f>IF('Retail Assumptions'!G41="# months","",'Retail Assumptions'!G41)</f>
        <v/>
      </c>
    </row>
    <row r="349" spans="1:2" s="7" customFormat="1" x14ac:dyDescent="0.35">
      <c r="A349" s="81" t="s">
        <v>348</v>
      </c>
      <c r="B349" s="69" t="str">
        <f>IF('Retail Assumptions'!G42="# months","",'Retail Assumptions'!G42)</f>
        <v/>
      </c>
    </row>
    <row r="350" spans="1:2" s="7" customFormat="1" x14ac:dyDescent="0.35">
      <c r="A350" s="81" t="s">
        <v>349</v>
      </c>
      <c r="B350" s="69">
        <f>IF('Retail Assumptions'!E48="# tenants",0,'Retail Assumptions'!E48)</f>
        <v>0</v>
      </c>
    </row>
    <row r="351" spans="1:2" s="7" customFormat="1" x14ac:dyDescent="0.35">
      <c r="A351" s="81" t="s">
        <v>350</v>
      </c>
      <c r="B351" s="69">
        <f>IF('Retail Assumptions'!E49="# sf per tenant",0,'Retail Assumptions'!E49)</f>
        <v>0</v>
      </c>
    </row>
    <row r="352" spans="1:2" s="7" customFormat="1" x14ac:dyDescent="0.35">
      <c r="A352" s="81" t="s">
        <v>351</v>
      </c>
      <c r="B352" s="69">
        <f>IF('Retail Assumptions'!E51="# years",0,'Retail Assumptions'!E51)</f>
        <v>0</v>
      </c>
    </row>
    <row r="353" spans="1:2" s="7" customFormat="1" x14ac:dyDescent="0.35">
      <c r="A353" s="81" t="s">
        <v>352</v>
      </c>
      <c r="B353" s="69">
        <f>IF('Retail Assumptions'!E52="$ per sf per year",0,'Retail Assumptions'!E52)</f>
        <v>0</v>
      </c>
    </row>
    <row r="354" spans="1:2" s="7" customFormat="1" x14ac:dyDescent="0.35">
      <c r="A354" s="81" t="s">
        <v>353</v>
      </c>
      <c r="B354" s="69">
        <f>IF('Retail Assumptions'!E53="% per year",0,'Retail Assumptions'!E53)</f>
        <v>0</v>
      </c>
    </row>
    <row r="355" spans="1:2" s="7" customFormat="1" x14ac:dyDescent="0.35">
      <c r="A355" s="81" t="s">
        <v>354</v>
      </c>
      <c r="B355" s="69">
        <f>IF('Retail Assumptions'!E54="# months",0,'Retail Assumptions'!E54)</f>
        <v>0</v>
      </c>
    </row>
    <row r="356" spans="1:2" s="7" customFormat="1" x14ac:dyDescent="0.35">
      <c r="A356" s="81" t="s">
        <v>355</v>
      </c>
      <c r="B356" s="69">
        <f>IF('Retail Assumptions'!E55="$ per rentable sf",0,'Retail Assumptions'!E55)</f>
        <v>0</v>
      </c>
    </row>
    <row r="357" spans="1:2" s="7" customFormat="1" x14ac:dyDescent="0.35">
      <c r="A357" s="81" t="s">
        <v>356</v>
      </c>
      <c r="B357" s="69">
        <f>IF('Retail Assumptions'!E56="% of lease value",0,'Retail Assumptions'!E56)</f>
        <v>0</v>
      </c>
    </row>
    <row r="358" spans="1:2" s="7" customFormat="1" x14ac:dyDescent="0.35">
      <c r="A358" s="81" t="s">
        <v>357</v>
      </c>
      <c r="B358" s="69">
        <f>IF('Retail Assumptions'!E58="% of gross potential revenue",0,'Retail Assumptions'!E58)</f>
        <v>0</v>
      </c>
    </row>
    <row r="359" spans="1:2" s="7" customFormat="1" x14ac:dyDescent="0.35">
      <c r="A359" s="81" t="s">
        <v>358</v>
      </c>
      <c r="B359" s="69">
        <f>IF('Retail Assumptions'!E59="% of gross potential revenue",0,'Retail Assumptions'!E59)</f>
        <v>0</v>
      </c>
    </row>
    <row r="360" spans="1:2" s="7" customFormat="1" x14ac:dyDescent="0.35">
      <c r="A360" s="81" t="s">
        <v>359</v>
      </c>
      <c r="B360" s="69">
        <f>IF('Retail Assumptions'!E61="% of tenants",0,'Retail Assumptions'!E61)</f>
        <v>0</v>
      </c>
    </row>
    <row r="361" spans="1:2" s="7" customFormat="1" x14ac:dyDescent="0.35">
      <c r="A361" s="81" t="s">
        <v>360</v>
      </c>
      <c r="B361" s="69">
        <f>IF('Retail Assumptions'!E62="# tenants",0,'Retail Assumptions'!E62)</f>
        <v>0</v>
      </c>
    </row>
    <row r="362" spans="1:2" s="7" customFormat="1" x14ac:dyDescent="0.35">
      <c r="A362" s="81" t="s">
        <v>361</v>
      </c>
      <c r="B362" s="69">
        <f>IF('Retail Assumptions'!E63="every # months",0,'Retail Assumptions'!E63)</f>
        <v>0</v>
      </c>
    </row>
    <row r="363" spans="1:2" s="7" customFormat="1" x14ac:dyDescent="0.35">
      <c r="A363" s="81" t="s">
        <v>362</v>
      </c>
      <c r="B363" s="69">
        <f>IF('Retail Assumptions'!G48="# tenants",0,'Retail Assumptions'!G48)</f>
        <v>0</v>
      </c>
    </row>
    <row r="364" spans="1:2" s="7" customFormat="1" x14ac:dyDescent="0.35">
      <c r="A364" s="81" t="s">
        <v>363</v>
      </c>
      <c r="B364" s="69">
        <f>IF('Retail Assumptions'!G49="# sf per tenant",0,'Retail Assumptions'!G49)</f>
        <v>0</v>
      </c>
    </row>
    <row r="365" spans="1:2" s="7" customFormat="1" x14ac:dyDescent="0.35">
      <c r="A365" s="81" t="s">
        <v>364</v>
      </c>
      <c r="B365" s="69">
        <f>IF('Retail Assumptions'!G51="# years",0,'Retail Assumptions'!G51)</f>
        <v>0</v>
      </c>
    </row>
    <row r="366" spans="1:2" s="7" customFormat="1" x14ac:dyDescent="0.35">
      <c r="A366" s="81" t="s">
        <v>365</v>
      </c>
      <c r="B366" s="69">
        <f>IF('Retail Assumptions'!G52="$ per sf per year",0,'Retail Assumptions'!G52)</f>
        <v>0</v>
      </c>
    </row>
    <row r="367" spans="1:2" s="7" customFormat="1" x14ac:dyDescent="0.35">
      <c r="A367" s="81" t="s">
        <v>366</v>
      </c>
      <c r="B367" s="69">
        <f>IF('Retail Assumptions'!G53="% per year",0,'Retail Assumptions'!G53)</f>
        <v>0</v>
      </c>
    </row>
    <row r="368" spans="1:2" s="7" customFormat="1" x14ac:dyDescent="0.35">
      <c r="A368" s="81" t="s">
        <v>367</v>
      </c>
      <c r="B368" s="69">
        <f>IF('Retail Assumptions'!G54="# months",0,'Retail Assumptions'!G54)</f>
        <v>0</v>
      </c>
    </row>
    <row r="369" spans="1:2" s="7" customFormat="1" x14ac:dyDescent="0.35">
      <c r="A369" s="81" t="s">
        <v>368</v>
      </c>
      <c r="B369" s="69">
        <f>IF('Retail Assumptions'!G55="$ per rentable sf",0,'Retail Assumptions'!G55)</f>
        <v>0</v>
      </c>
    </row>
    <row r="370" spans="1:2" s="7" customFormat="1" x14ac:dyDescent="0.35">
      <c r="A370" s="81" t="s">
        <v>369</v>
      </c>
      <c r="B370" s="69">
        <f>IF('Retail Assumptions'!G56="% of lease value",0,'Retail Assumptions'!G56)</f>
        <v>0</v>
      </c>
    </row>
    <row r="371" spans="1:2" s="7" customFormat="1" x14ac:dyDescent="0.35">
      <c r="A371" s="81" t="s">
        <v>370</v>
      </c>
      <c r="B371" s="69">
        <f>IF('Retail Assumptions'!G58="% of gross potential revenue",0,'Retail Assumptions'!G58)</f>
        <v>0</v>
      </c>
    </row>
    <row r="372" spans="1:2" s="7" customFormat="1" x14ac:dyDescent="0.35">
      <c r="A372" s="81" t="s">
        <v>371</v>
      </c>
      <c r="B372" s="69">
        <f>IF('Retail Assumptions'!G59="% of gross potential revenue",0,'Retail Assumptions'!G59)</f>
        <v>0</v>
      </c>
    </row>
    <row r="373" spans="1:2" s="7" customFormat="1" x14ac:dyDescent="0.35">
      <c r="A373" s="81" t="s">
        <v>372</v>
      </c>
      <c r="B373" s="69">
        <f>IF('Retail Assumptions'!G61="% of tenants",0,'Retail Assumptions'!G61)</f>
        <v>0</v>
      </c>
    </row>
    <row r="374" spans="1:2" s="7" customFormat="1" x14ac:dyDescent="0.35">
      <c r="A374" s="81" t="s">
        <v>373</v>
      </c>
      <c r="B374" s="69">
        <f>IF('Retail Assumptions'!G62="# tenants",0,'Retail Assumptions'!G62)</f>
        <v>0</v>
      </c>
    </row>
    <row r="375" spans="1:2" s="7" customFormat="1" x14ac:dyDescent="0.35">
      <c r="A375" s="81" t="s">
        <v>374</v>
      </c>
      <c r="B375" s="69">
        <f>IF('Retail Assumptions'!G63="every # months",0,'Retail Assumptions'!G63)</f>
        <v>0</v>
      </c>
    </row>
    <row r="376" spans="1:2" s="7" customFormat="1" x14ac:dyDescent="0.35">
      <c r="A376" s="81" t="s">
        <v>375</v>
      </c>
      <c r="B376" s="69">
        <f>IF('Retail Assumptions'!I48="# tenants",0,'Retail Assumptions'!I48)</f>
        <v>0</v>
      </c>
    </row>
    <row r="377" spans="1:2" s="7" customFormat="1" x14ac:dyDescent="0.35">
      <c r="A377" s="81" t="s">
        <v>376</v>
      </c>
      <c r="B377" s="69">
        <f>IF('Retail Assumptions'!I49="# sf per tenant",0,'Retail Assumptions'!I49)</f>
        <v>0</v>
      </c>
    </row>
    <row r="378" spans="1:2" s="7" customFormat="1" x14ac:dyDescent="0.35">
      <c r="A378" s="81" t="s">
        <v>377</v>
      </c>
      <c r="B378" s="69">
        <f>IF('Retail Assumptions'!I51="# years",0,'Retail Assumptions'!I51)</f>
        <v>0</v>
      </c>
    </row>
    <row r="379" spans="1:2" s="7" customFormat="1" x14ac:dyDescent="0.35">
      <c r="A379" s="81" t="s">
        <v>378</v>
      </c>
      <c r="B379" s="69">
        <f>IF('Retail Assumptions'!I52="$ per sf per year",0,'Retail Assumptions'!I52)</f>
        <v>0</v>
      </c>
    </row>
    <row r="380" spans="1:2" s="7" customFormat="1" x14ac:dyDescent="0.35">
      <c r="A380" s="81" t="s">
        <v>379</v>
      </c>
      <c r="B380" s="69">
        <f>IF('Retail Assumptions'!I53="% per year",0,'Retail Assumptions'!I53)</f>
        <v>0</v>
      </c>
    </row>
    <row r="381" spans="1:2" s="7" customFormat="1" x14ac:dyDescent="0.35">
      <c r="A381" s="81" t="s">
        <v>380</v>
      </c>
      <c r="B381" s="69">
        <f>IF('Retail Assumptions'!I54="# months",0,'Retail Assumptions'!I54)</f>
        <v>0</v>
      </c>
    </row>
    <row r="382" spans="1:2" s="7" customFormat="1" x14ac:dyDescent="0.35">
      <c r="A382" s="81" t="s">
        <v>381</v>
      </c>
      <c r="B382" s="69">
        <f>IF('Retail Assumptions'!I55="$ per rentable sf",0,'Retail Assumptions'!I55)</f>
        <v>0</v>
      </c>
    </row>
    <row r="383" spans="1:2" s="7" customFormat="1" x14ac:dyDescent="0.35">
      <c r="A383" s="81" t="s">
        <v>382</v>
      </c>
      <c r="B383" s="69">
        <f>IF('Retail Assumptions'!I56="% of lease value",0,'Retail Assumptions'!I56)</f>
        <v>0</v>
      </c>
    </row>
    <row r="384" spans="1:2" s="7" customFormat="1" x14ac:dyDescent="0.35">
      <c r="A384" s="81" t="s">
        <v>383</v>
      </c>
      <c r="B384" s="69">
        <f>IF('Retail Assumptions'!I58="% of gross potential revenue",0,'Retail Assumptions'!I58)</f>
        <v>0</v>
      </c>
    </row>
    <row r="385" spans="1:2" s="7" customFormat="1" x14ac:dyDescent="0.35">
      <c r="A385" s="81" t="s">
        <v>384</v>
      </c>
      <c r="B385" s="69">
        <f>IF('Retail Assumptions'!I59="% of gross potential revenue",0,'Retail Assumptions'!I59)</f>
        <v>0</v>
      </c>
    </row>
    <row r="386" spans="1:2" s="7" customFormat="1" x14ac:dyDescent="0.35">
      <c r="A386" s="81" t="s">
        <v>385</v>
      </c>
      <c r="B386" s="69">
        <f>IF('Retail Assumptions'!I61="% of tenants",0,'Retail Assumptions'!I61)</f>
        <v>0</v>
      </c>
    </row>
    <row r="387" spans="1:2" s="7" customFormat="1" x14ac:dyDescent="0.35">
      <c r="A387" s="81" t="s">
        <v>386</v>
      </c>
      <c r="B387" s="69">
        <f>IF('Retail Assumptions'!I62="# tenants",0,'Retail Assumptions'!I62)</f>
        <v>0</v>
      </c>
    </row>
    <row r="388" spans="1:2" s="7" customFormat="1" x14ac:dyDescent="0.35">
      <c r="A388" s="81" t="s">
        <v>387</v>
      </c>
      <c r="B388" s="69">
        <f>IF('Retail Assumptions'!I63="every # months",0,'Retail Assumptions'!I63)</f>
        <v>0</v>
      </c>
    </row>
    <row r="389" spans="1:2" s="7" customFormat="1" x14ac:dyDescent="0.35">
      <c r="A389" s="81" t="s">
        <v>388</v>
      </c>
      <c r="B389" s="69">
        <f>IF('Retail Assumptions'!K48="# tenants",0,'Retail Assumptions'!K48)</f>
        <v>0</v>
      </c>
    </row>
    <row r="390" spans="1:2" s="7" customFormat="1" x14ac:dyDescent="0.35">
      <c r="A390" s="81" t="s">
        <v>389</v>
      </c>
      <c r="B390" s="69">
        <f>IF('Retail Assumptions'!K49="# sf per tenant",0,'Retail Assumptions'!K49)</f>
        <v>0</v>
      </c>
    </row>
    <row r="391" spans="1:2" s="7" customFormat="1" x14ac:dyDescent="0.35">
      <c r="A391" s="81" t="s">
        <v>390</v>
      </c>
      <c r="B391" s="69">
        <f>IF('Retail Assumptions'!K51="# years",0,'Retail Assumptions'!K51)</f>
        <v>0</v>
      </c>
    </row>
    <row r="392" spans="1:2" s="7" customFormat="1" x14ac:dyDescent="0.35">
      <c r="A392" s="81" t="s">
        <v>391</v>
      </c>
      <c r="B392" s="69">
        <f>IF('Retail Assumptions'!K52="$ per sf per year",0,'Retail Assumptions'!K52)</f>
        <v>0</v>
      </c>
    </row>
    <row r="393" spans="1:2" s="7" customFormat="1" x14ac:dyDescent="0.35">
      <c r="A393" s="81" t="s">
        <v>392</v>
      </c>
      <c r="B393" s="69">
        <f>IF('Retail Assumptions'!K53="% per year",0,'Retail Assumptions'!K53)</f>
        <v>0</v>
      </c>
    </row>
    <row r="394" spans="1:2" s="7" customFormat="1" x14ac:dyDescent="0.35">
      <c r="A394" s="81" t="s">
        <v>393</v>
      </c>
      <c r="B394" s="69">
        <f>IF('Retail Assumptions'!K54="# months",0,'Retail Assumptions'!K54)</f>
        <v>0</v>
      </c>
    </row>
    <row r="395" spans="1:2" s="7" customFormat="1" x14ac:dyDescent="0.35">
      <c r="A395" s="81" t="s">
        <v>394</v>
      </c>
      <c r="B395" s="69">
        <f>IF('Retail Assumptions'!K55="$ per rentable sf",0,'Retail Assumptions'!K55)</f>
        <v>0</v>
      </c>
    </row>
    <row r="396" spans="1:2" s="7" customFormat="1" x14ac:dyDescent="0.35">
      <c r="A396" s="81" t="s">
        <v>395</v>
      </c>
      <c r="B396" s="69">
        <f>IF('Retail Assumptions'!K56="% of lease value",0,'Retail Assumptions'!K56)</f>
        <v>0</v>
      </c>
    </row>
    <row r="397" spans="1:2" s="7" customFormat="1" x14ac:dyDescent="0.35">
      <c r="A397" s="81" t="s">
        <v>396</v>
      </c>
      <c r="B397" s="69">
        <f>IF('Retail Assumptions'!K58="% of gross potential revenue",0,'Retail Assumptions'!K58)</f>
        <v>0</v>
      </c>
    </row>
    <row r="398" spans="1:2" s="7" customFormat="1" x14ac:dyDescent="0.35">
      <c r="A398" s="81" t="s">
        <v>397</v>
      </c>
      <c r="B398" s="69">
        <f>IF('Retail Assumptions'!K59="% of gross potential revenue",0,'Retail Assumptions'!K59)</f>
        <v>0</v>
      </c>
    </row>
    <row r="399" spans="1:2" s="7" customFormat="1" x14ac:dyDescent="0.35">
      <c r="A399" s="81" t="s">
        <v>398</v>
      </c>
      <c r="B399" s="69">
        <f>IF('Retail Assumptions'!K61="% of tenants",0,'Retail Assumptions'!K61)</f>
        <v>0</v>
      </c>
    </row>
    <row r="400" spans="1:2" s="7" customFormat="1" x14ac:dyDescent="0.35">
      <c r="A400" s="81" t="s">
        <v>399</v>
      </c>
      <c r="B400" s="69">
        <f>IF('Retail Assumptions'!K62="# tenants",0,'Retail Assumptions'!K62)</f>
        <v>0</v>
      </c>
    </row>
    <row r="401" spans="1:2" s="7" customFormat="1" x14ac:dyDescent="0.35">
      <c r="A401" s="81" t="s">
        <v>400</v>
      </c>
      <c r="B401" s="69">
        <f>IF('Retail Assumptions'!K63="every # months",0,'Retail Assumptions'!K63)</f>
        <v>0</v>
      </c>
    </row>
    <row r="402" spans="1:2" s="7" customFormat="1" x14ac:dyDescent="0.35">
      <c r="A402" s="81" t="s">
        <v>401</v>
      </c>
      <c r="B402" s="69">
        <f>IF('Retail Assumptions'!E68="$ per month",0,'Retail Assumptions'!E68)</f>
        <v>0</v>
      </c>
    </row>
    <row r="403" spans="1:2" s="7" customFormat="1" x14ac:dyDescent="0.35">
      <c r="A403" s="81" t="s">
        <v>402</v>
      </c>
      <c r="B403" s="69">
        <f>IF('Retail Assumptions'!E69="% per year",0,'Retail Assumptions'!E69)</f>
        <v>0</v>
      </c>
    </row>
    <row r="404" spans="1:2" s="7" customFormat="1" x14ac:dyDescent="0.35">
      <c r="A404" s="81" t="s">
        <v>403</v>
      </c>
      <c r="B404" s="69" t="str">
        <f>IF(SUM(B405:B410)&gt;0,"Complex","Simple")</f>
        <v>Simple</v>
      </c>
    </row>
    <row r="405" spans="1:2" s="7" customFormat="1" x14ac:dyDescent="0.35">
      <c r="A405" s="81" t="s">
        <v>404</v>
      </c>
      <c r="B405" s="69">
        <f>IF('Retail Assumptions'!E75="$ per sf per year",0,'Retail Assumptions'!E75)</f>
        <v>0</v>
      </c>
    </row>
    <row r="406" spans="1:2" s="7" customFormat="1" x14ac:dyDescent="0.35">
      <c r="A406" s="81" t="s">
        <v>405</v>
      </c>
      <c r="B406" s="69">
        <f>IF('Retail Assumptions'!E76="$ per sf per year",0,'Retail Assumptions'!E76)</f>
        <v>0</v>
      </c>
    </row>
    <row r="407" spans="1:2" s="7" customFormat="1" x14ac:dyDescent="0.35">
      <c r="A407" s="81" t="s">
        <v>406</v>
      </c>
      <c r="B407" s="69">
        <f>IF('Retail Assumptions'!E77="$ per sf per year",0,'Retail Assumptions'!E77)</f>
        <v>0</v>
      </c>
    </row>
    <row r="408" spans="1:2" s="7" customFormat="1" x14ac:dyDescent="0.35">
      <c r="A408" s="81" t="s">
        <v>407</v>
      </c>
      <c r="B408" s="69">
        <f>IF('Retail Assumptions'!E78="$ per sf per year",0,'Retail Assumptions'!E78)</f>
        <v>0</v>
      </c>
    </row>
    <row r="409" spans="1:2" s="7" customFormat="1" x14ac:dyDescent="0.35">
      <c r="A409" s="81" t="s">
        <v>408</v>
      </c>
      <c r="B409" s="69">
        <f>IF('Retail Assumptions'!E79="$ per sf per year",0,'Retail Assumptions'!E79)</f>
        <v>0</v>
      </c>
    </row>
    <row r="410" spans="1:2" s="7" customFormat="1" x14ac:dyDescent="0.35">
      <c r="A410" s="81" t="s">
        <v>409</v>
      </c>
      <c r="B410" s="69">
        <f>IF('Retail Assumptions'!E80="$ per sf per year",0,'Retail Assumptions'!E80)</f>
        <v>0</v>
      </c>
    </row>
    <row r="411" spans="1:2" s="7" customFormat="1" x14ac:dyDescent="0.35">
      <c r="A411" s="81" t="s">
        <v>410</v>
      </c>
      <c r="B411" s="69" t="str">
        <f>IF('Retail Assumptions'!G75="tenant / landlord","Landlord",'Retail Assumptions'!G75)</f>
        <v>Landlord</v>
      </c>
    </row>
    <row r="412" spans="1:2" s="7" customFormat="1" x14ac:dyDescent="0.35">
      <c r="A412" s="81" t="s">
        <v>411</v>
      </c>
      <c r="B412" s="69" t="str">
        <f>IF('Retail Assumptions'!G76="tenant / landlord","Landlord",'Retail Assumptions'!G76)</f>
        <v>Landlord</v>
      </c>
    </row>
    <row r="413" spans="1:2" s="7" customFormat="1" x14ac:dyDescent="0.35">
      <c r="A413" s="81" t="s">
        <v>412</v>
      </c>
      <c r="B413" s="69" t="str">
        <f>IF('Retail Assumptions'!G77="tenant / landlord","Landlord",'Retail Assumptions'!G77)</f>
        <v>Landlord</v>
      </c>
    </row>
    <row r="414" spans="1:2" s="7" customFormat="1" x14ac:dyDescent="0.35">
      <c r="A414" s="81" t="s">
        <v>413</v>
      </c>
      <c r="B414" s="69" t="str">
        <f>IF('Retail Assumptions'!G78="tenant / landlord","Landlord",'Retail Assumptions'!G78)</f>
        <v>Landlord</v>
      </c>
    </row>
    <row r="415" spans="1:2" s="7" customFormat="1" x14ac:dyDescent="0.35">
      <c r="A415" s="81" t="s">
        <v>414</v>
      </c>
      <c r="B415" s="69" t="str">
        <f>IF('Retail Assumptions'!G79="tenant / landlord","Landlord",'Retail Assumptions'!G79)</f>
        <v>Landlord</v>
      </c>
    </row>
    <row r="416" spans="1:2" s="7" customFormat="1" x14ac:dyDescent="0.35">
      <c r="A416" s="81" t="s">
        <v>415</v>
      </c>
      <c r="B416" s="69" t="s">
        <v>416</v>
      </c>
    </row>
    <row r="417" spans="1:2" s="7" customFormat="1" x14ac:dyDescent="0.35">
      <c r="A417" s="81" t="s">
        <v>417</v>
      </c>
      <c r="B417" s="69">
        <f>IF('Retail Assumptions'!E83="% of egr",0,'Retail Assumptions'!E83)</f>
        <v>0</v>
      </c>
    </row>
    <row r="418" spans="1:2" s="7" customFormat="1" x14ac:dyDescent="0.35">
      <c r="A418" s="81" t="s">
        <v>418</v>
      </c>
      <c r="B418" s="69">
        <f>IF('Retail Assumptions'!E88="% of egr",0,'Retail Assumptions'!E88)</f>
        <v>0</v>
      </c>
    </row>
    <row r="419" spans="1:2" s="7" customFormat="1" x14ac:dyDescent="0.35">
      <c r="A419" s="81" t="s">
        <v>419</v>
      </c>
      <c r="B419" s="69">
        <f>IF('Retail Assumptions'!E89="% of egr",0,'Retail Assumptions'!E89)</f>
        <v>0</v>
      </c>
    </row>
    <row r="420" spans="1:2" s="7" customFormat="1" x14ac:dyDescent="0.35">
      <c r="A420" s="81" t="s">
        <v>420</v>
      </c>
      <c r="B420" s="69">
        <f>IF('Retail Assumptions'!E94="% per year",0,'Retail Assumptions'!E94)</f>
        <v>0</v>
      </c>
    </row>
    <row r="421" spans="1:2" s="7" customFormat="1" x14ac:dyDescent="0.35">
      <c r="A421" s="81" t="s">
        <v>421</v>
      </c>
      <c r="B421" s="69">
        <f>IF('Retail Assumptions'!E99="%",0,'Retail Assumptions'!E99)</f>
        <v>0</v>
      </c>
    </row>
    <row r="422" spans="1:2" s="7" customFormat="1" x14ac:dyDescent="0.35">
      <c r="A422" s="81" t="s">
        <v>422</v>
      </c>
      <c r="B422" s="69">
        <f>IF('Retail Assumptions'!E104="# sf",0,'Retail Assumptions'!E104)</f>
        <v>0</v>
      </c>
    </row>
    <row r="423" spans="1:2" s="7" customFormat="1" x14ac:dyDescent="0.35">
      <c r="A423" s="81" t="s">
        <v>423</v>
      </c>
      <c r="B423" s="69">
        <f>IF('Retail Assumptions'!E105="% of gross sf",0,'Retail Assumptions'!E105)</f>
        <v>0</v>
      </c>
    </row>
    <row r="424" spans="1:2" s="7" customFormat="1" x14ac:dyDescent="0.35">
      <c r="A424" s="81" t="s">
        <v>424</v>
      </c>
      <c r="B424" s="69">
        <f>IF('Retail Assumptions'!E106="% of gross sf",0,'Retail Assumptions'!E106)</f>
        <v>0</v>
      </c>
    </row>
    <row r="425" spans="1:2" s="7" customFormat="1" x14ac:dyDescent="0.35">
      <c r="A425" s="81" t="s">
        <v>425</v>
      </c>
      <c r="B425" s="69">
        <f>IF('Retail Assumptions'!E107="% of gross sf",0,'Retail Assumptions'!E107)</f>
        <v>0</v>
      </c>
    </row>
    <row r="426" spans="1:2" s="7" customFormat="1" x14ac:dyDescent="0.35">
      <c r="A426" s="81" t="s">
        <v>426</v>
      </c>
      <c r="B426" s="69" t="str">
        <f>IF('Retail Assumptions'!G104="yes / no","No",'Retail Assumptions'!G104)</f>
        <v>No</v>
      </c>
    </row>
    <row r="427" spans="1:2" s="7" customFormat="1" x14ac:dyDescent="0.35">
      <c r="A427" s="81" t="s">
        <v>427</v>
      </c>
      <c r="B427" s="69" t="str">
        <f>IF('Retail Assumptions'!G105="yes / no","No",'Retail Assumptions'!G105)</f>
        <v>No</v>
      </c>
    </row>
    <row r="428" spans="1:2" s="7" customFormat="1" x14ac:dyDescent="0.35">
      <c r="A428" s="81" t="s">
        <v>428</v>
      </c>
      <c r="B428" s="69" t="str">
        <f>IF('Retail Assumptions'!G106="yes / no","No",'Retail Assumptions'!G106)</f>
        <v>No</v>
      </c>
    </row>
    <row r="429" spans="1:2" s="7" customFormat="1" x14ac:dyDescent="0.35">
      <c r="A429" s="81" t="s">
        <v>429</v>
      </c>
      <c r="B429" s="69" t="str">
        <f>IF('Retail Assumptions'!G107="yes / no","No",'Retail Assumptions'!G107)</f>
        <v>No</v>
      </c>
    </row>
    <row r="430" spans="1:2" s="7" customFormat="1" x14ac:dyDescent="0.35">
      <c r="A430" s="81" t="s">
        <v>430</v>
      </c>
      <c r="B430" s="69" t="str">
        <f>'Office Assumptions'!C9</f>
        <v>name</v>
      </c>
    </row>
    <row r="431" spans="1:2" s="7" customFormat="1" x14ac:dyDescent="0.35">
      <c r="A431" s="81" t="s">
        <v>431</v>
      </c>
      <c r="B431" s="69" t="str">
        <f>'Office Assumptions'!C10</f>
        <v>name</v>
      </c>
    </row>
    <row r="432" spans="1:2" s="7" customFormat="1" x14ac:dyDescent="0.35">
      <c r="A432" s="81" t="s">
        <v>432</v>
      </c>
      <c r="B432" s="69" t="str">
        <f>'Office Assumptions'!C11</f>
        <v>name</v>
      </c>
    </row>
    <row r="433" spans="1:2" s="7" customFormat="1" x14ac:dyDescent="0.35">
      <c r="A433" s="81" t="s">
        <v>433</v>
      </c>
      <c r="B433" s="69" t="str">
        <f>'Office Assumptions'!C12</f>
        <v>name</v>
      </c>
    </row>
    <row r="434" spans="1:2" s="7" customFormat="1" x14ac:dyDescent="0.35">
      <c r="A434" s="81" t="s">
        <v>434</v>
      </c>
      <c r="B434" s="69" t="str">
        <f>'Office Assumptions'!C13</f>
        <v>name</v>
      </c>
    </row>
    <row r="435" spans="1:2" s="7" customFormat="1" x14ac:dyDescent="0.35">
      <c r="A435" s="81" t="s">
        <v>435</v>
      </c>
      <c r="B435" s="69" t="str">
        <f>'Office Assumptions'!C14</f>
        <v>name</v>
      </c>
    </row>
    <row r="436" spans="1:2" s="7" customFormat="1" x14ac:dyDescent="0.35">
      <c r="A436" s="81" t="s">
        <v>436</v>
      </c>
      <c r="B436" s="69" t="str">
        <f>'Office Assumptions'!C15</f>
        <v>name</v>
      </c>
    </row>
    <row r="437" spans="1:2" s="7" customFormat="1" x14ac:dyDescent="0.35">
      <c r="A437" s="81" t="s">
        <v>437</v>
      </c>
      <c r="B437" s="69" t="str">
        <f>'Office Assumptions'!C16</f>
        <v>name</v>
      </c>
    </row>
    <row r="438" spans="1:2" s="7" customFormat="1" x14ac:dyDescent="0.35">
      <c r="A438" s="81" t="s">
        <v>438</v>
      </c>
      <c r="B438" s="69" t="str">
        <f>'Office Assumptions'!C17</f>
        <v>name</v>
      </c>
    </row>
    <row r="439" spans="1:2" s="7" customFormat="1" x14ac:dyDescent="0.35">
      <c r="A439" s="81" t="s">
        <v>439</v>
      </c>
      <c r="B439" s="69" t="str">
        <f>'Office Assumptions'!C18</f>
        <v>name</v>
      </c>
    </row>
    <row r="440" spans="1:2" s="7" customFormat="1" x14ac:dyDescent="0.35">
      <c r="A440" s="81" t="s">
        <v>440</v>
      </c>
      <c r="B440" s="69" t="str">
        <f>IF('Office Assumptions'!E9="anchor, non-anchor, medical, ground floor","",'Office Assumptions'!E9)</f>
        <v/>
      </c>
    </row>
    <row r="441" spans="1:2" s="7" customFormat="1" x14ac:dyDescent="0.35">
      <c r="A441" s="81" t="s">
        <v>441</v>
      </c>
      <c r="B441" s="69" t="str">
        <f>IF('Office Assumptions'!E10="anchor, non-anchor, medical, ground floor","",'Office Assumptions'!E10)</f>
        <v/>
      </c>
    </row>
    <row r="442" spans="1:2" s="7" customFormat="1" x14ac:dyDescent="0.35">
      <c r="A442" s="81" t="s">
        <v>442</v>
      </c>
      <c r="B442" s="69" t="str">
        <f>IF('Office Assumptions'!E11="anchor, non-anchor, medical, ground floor","",'Office Assumptions'!E11)</f>
        <v/>
      </c>
    </row>
    <row r="443" spans="1:2" s="7" customFormat="1" x14ac:dyDescent="0.35">
      <c r="A443" s="81" t="s">
        <v>443</v>
      </c>
      <c r="B443" s="69" t="str">
        <f>IF('Office Assumptions'!E12="anchor, non-anchor, medical, ground floor","",'Office Assumptions'!E12)</f>
        <v/>
      </c>
    </row>
    <row r="444" spans="1:2" s="7" customFormat="1" x14ac:dyDescent="0.35">
      <c r="A444" s="81" t="s">
        <v>444</v>
      </c>
      <c r="B444" s="69" t="str">
        <f>IF('Office Assumptions'!E13="anchor, non-anchor, medical, ground floor","",'Office Assumptions'!E13)</f>
        <v/>
      </c>
    </row>
    <row r="445" spans="1:2" s="7" customFormat="1" x14ac:dyDescent="0.35">
      <c r="A445" s="81" t="s">
        <v>445</v>
      </c>
      <c r="B445" s="69" t="str">
        <f>IF('Office Assumptions'!E14="anchor, non-anchor, medical, ground floor","",'Office Assumptions'!E14)</f>
        <v/>
      </c>
    </row>
    <row r="446" spans="1:2" s="7" customFormat="1" x14ac:dyDescent="0.35">
      <c r="A446" s="81" t="s">
        <v>446</v>
      </c>
      <c r="B446" s="69" t="str">
        <f>IF('Office Assumptions'!E15="anchor, non-anchor, medical, ground floor","",'Office Assumptions'!E15)</f>
        <v/>
      </c>
    </row>
    <row r="447" spans="1:2" s="7" customFormat="1" x14ac:dyDescent="0.35">
      <c r="A447" s="81" t="s">
        <v>447</v>
      </c>
      <c r="B447" s="69" t="str">
        <f>IF('Office Assumptions'!E16="anchor, non-anchor, medical, ground floor","",'Office Assumptions'!E16)</f>
        <v/>
      </c>
    </row>
    <row r="448" spans="1:2" s="7" customFormat="1" x14ac:dyDescent="0.35">
      <c r="A448" s="81" t="s">
        <v>448</v>
      </c>
      <c r="B448" s="69" t="str">
        <f>IF('Office Assumptions'!E17="anchor, non-anchor, medical, ground floor","",'Office Assumptions'!E17)</f>
        <v/>
      </c>
    </row>
    <row r="449" spans="1:2" s="7" customFormat="1" x14ac:dyDescent="0.35">
      <c r="A449" s="81" t="s">
        <v>449</v>
      </c>
      <c r="B449" s="69" t="str">
        <f>IF('Office Assumptions'!E18="anchor, non-anchor, medical, ground floor","",'Office Assumptions'!E18)</f>
        <v/>
      </c>
    </row>
    <row r="450" spans="1:2" s="7" customFormat="1" x14ac:dyDescent="0.35">
      <c r="A450" s="81" t="s">
        <v>450</v>
      </c>
      <c r="B450" s="69" t="str">
        <f>IF('Office Assumptions'!G9="# sf","",'Office Assumptions'!G9)</f>
        <v/>
      </c>
    </row>
    <row r="451" spans="1:2" s="7" customFormat="1" x14ac:dyDescent="0.35">
      <c r="A451" s="81" t="s">
        <v>451</v>
      </c>
      <c r="B451" s="69" t="str">
        <f>IF('Office Assumptions'!G10="# sf","",'Office Assumptions'!G10)</f>
        <v/>
      </c>
    </row>
    <row r="452" spans="1:2" s="7" customFormat="1" x14ac:dyDescent="0.35">
      <c r="A452" s="81" t="s">
        <v>452</v>
      </c>
      <c r="B452" s="69" t="str">
        <f>IF('Office Assumptions'!G11="# sf","",'Office Assumptions'!G11)</f>
        <v/>
      </c>
    </row>
    <row r="453" spans="1:2" s="7" customFormat="1" x14ac:dyDescent="0.35">
      <c r="A453" s="81" t="s">
        <v>453</v>
      </c>
      <c r="B453" s="69" t="str">
        <f>IF('Office Assumptions'!G12="# sf","",'Office Assumptions'!G12)</f>
        <v/>
      </c>
    </row>
    <row r="454" spans="1:2" s="7" customFormat="1" x14ac:dyDescent="0.35">
      <c r="A454" s="81" t="s">
        <v>454</v>
      </c>
      <c r="B454" s="69" t="str">
        <f>IF('Office Assumptions'!G13="# sf","",'Office Assumptions'!G13)</f>
        <v/>
      </c>
    </row>
    <row r="455" spans="1:2" s="7" customFormat="1" x14ac:dyDescent="0.35">
      <c r="A455" s="81" t="s">
        <v>455</v>
      </c>
      <c r="B455" s="69" t="str">
        <f>IF('Office Assumptions'!G14="# sf","",'Office Assumptions'!G14)</f>
        <v/>
      </c>
    </row>
    <row r="456" spans="1:2" s="7" customFormat="1" x14ac:dyDescent="0.35">
      <c r="A456" s="81" t="s">
        <v>456</v>
      </c>
      <c r="B456" s="69" t="str">
        <f>IF('Office Assumptions'!G15="# sf","",'Office Assumptions'!G15)</f>
        <v/>
      </c>
    </row>
    <row r="457" spans="1:2" s="7" customFormat="1" x14ac:dyDescent="0.35">
      <c r="A457" s="81" t="s">
        <v>457</v>
      </c>
      <c r="B457" s="69" t="str">
        <f>IF('Office Assumptions'!G16="# sf","",'Office Assumptions'!G16)</f>
        <v/>
      </c>
    </row>
    <row r="458" spans="1:2" s="7" customFormat="1" x14ac:dyDescent="0.35">
      <c r="A458" s="81" t="s">
        <v>458</v>
      </c>
      <c r="B458" s="69" t="str">
        <f>IF('Office Assumptions'!G17="# sf","",'Office Assumptions'!G17)</f>
        <v/>
      </c>
    </row>
    <row r="459" spans="1:2" s="7" customFormat="1" x14ac:dyDescent="0.35">
      <c r="A459" s="81" t="s">
        <v>459</v>
      </c>
      <c r="B459" s="69" t="str">
        <f>IF('Office Assumptions'!G18="# sf","",'Office Assumptions'!G18)</f>
        <v/>
      </c>
    </row>
    <row r="460" spans="1:2" s="7" customFormat="1" x14ac:dyDescent="0.35">
      <c r="A460" s="81" t="s">
        <v>460</v>
      </c>
      <c r="B460" s="69" t="str">
        <f>IF('Office Assumptions'!I9="mm/dd/yyyy","",'Office Assumptions'!I9)</f>
        <v/>
      </c>
    </row>
    <row r="461" spans="1:2" s="7" customFormat="1" x14ac:dyDescent="0.35">
      <c r="A461" s="81" t="s">
        <v>461</v>
      </c>
      <c r="B461" s="69" t="str">
        <f>IF('Office Assumptions'!I10="mm/dd/yyyy","",'Office Assumptions'!I10)</f>
        <v/>
      </c>
    </row>
    <row r="462" spans="1:2" s="7" customFormat="1" x14ac:dyDescent="0.35">
      <c r="A462" s="81" t="s">
        <v>462</v>
      </c>
      <c r="B462" s="69" t="str">
        <f>IF('Office Assumptions'!I11="mm/dd/yyyy","",'Office Assumptions'!I11)</f>
        <v/>
      </c>
    </row>
    <row r="463" spans="1:2" s="7" customFormat="1" x14ac:dyDescent="0.35">
      <c r="A463" s="81" t="s">
        <v>463</v>
      </c>
      <c r="B463" s="69" t="str">
        <f>IF('Office Assumptions'!I12="mm/dd/yyyy","",'Office Assumptions'!I12)</f>
        <v/>
      </c>
    </row>
    <row r="464" spans="1:2" s="7" customFormat="1" x14ac:dyDescent="0.35">
      <c r="A464" s="81" t="s">
        <v>464</v>
      </c>
      <c r="B464" s="69" t="str">
        <f>IF('Office Assumptions'!I13="mm/dd/yyyy","",'Office Assumptions'!I13)</f>
        <v/>
      </c>
    </row>
    <row r="465" spans="1:2" s="7" customFormat="1" x14ac:dyDescent="0.35">
      <c r="A465" s="81" t="s">
        <v>465</v>
      </c>
      <c r="B465" s="69" t="str">
        <f>IF('Office Assumptions'!I14="mm/dd/yyyy","",'Office Assumptions'!I14)</f>
        <v/>
      </c>
    </row>
    <row r="466" spans="1:2" s="7" customFormat="1" x14ac:dyDescent="0.35">
      <c r="A466" s="81" t="s">
        <v>466</v>
      </c>
      <c r="B466" s="69" t="str">
        <f>IF('Office Assumptions'!I15="mm/dd/yyyy","",'Office Assumptions'!I15)</f>
        <v/>
      </c>
    </row>
    <row r="467" spans="1:2" s="7" customFormat="1" x14ac:dyDescent="0.35">
      <c r="A467" s="81" t="s">
        <v>467</v>
      </c>
      <c r="B467" s="69" t="str">
        <f>IF('Office Assumptions'!I16="mm/dd/yyyy","",'Office Assumptions'!I16)</f>
        <v/>
      </c>
    </row>
    <row r="468" spans="1:2" s="7" customFormat="1" x14ac:dyDescent="0.35">
      <c r="A468" s="81" t="s">
        <v>468</v>
      </c>
      <c r="B468" s="69" t="str">
        <f>IF('Office Assumptions'!I17="mm/dd/yyyy","",'Office Assumptions'!I17)</f>
        <v/>
      </c>
    </row>
    <row r="469" spans="1:2" s="7" customFormat="1" x14ac:dyDescent="0.35">
      <c r="A469" s="81" t="s">
        <v>469</v>
      </c>
      <c r="B469" s="69" t="str">
        <f>IF('Office Assumptions'!I18="mm/dd/yyyy","",'Office Assumptions'!I18)</f>
        <v/>
      </c>
    </row>
    <row r="470" spans="1:2" s="7" customFormat="1" x14ac:dyDescent="0.35">
      <c r="A470" s="81" t="s">
        <v>470</v>
      </c>
      <c r="B470" s="69" t="str">
        <f>IF('Office Assumptions'!C21="# years","",'Office Assumptions'!C21)</f>
        <v/>
      </c>
    </row>
    <row r="471" spans="1:2" s="7" customFormat="1" x14ac:dyDescent="0.35">
      <c r="A471" s="81" t="s">
        <v>471</v>
      </c>
      <c r="B471" s="69" t="str">
        <f>IF('Office Assumptions'!C22="# years","",'Office Assumptions'!C22)</f>
        <v/>
      </c>
    </row>
    <row r="472" spans="1:2" s="7" customFormat="1" x14ac:dyDescent="0.35">
      <c r="A472" s="81" t="s">
        <v>472</v>
      </c>
      <c r="B472" s="69" t="str">
        <f>IF('Office Assumptions'!C23="# years","",'Office Assumptions'!C23)</f>
        <v/>
      </c>
    </row>
    <row r="473" spans="1:2" s="7" customFormat="1" x14ac:dyDescent="0.35">
      <c r="A473" s="81" t="s">
        <v>473</v>
      </c>
      <c r="B473" s="69" t="str">
        <f>IF('Office Assumptions'!C24="# years","",'Office Assumptions'!C24)</f>
        <v/>
      </c>
    </row>
    <row r="474" spans="1:2" s="7" customFormat="1" x14ac:dyDescent="0.35">
      <c r="A474" s="81" t="s">
        <v>474</v>
      </c>
      <c r="B474" s="69" t="str">
        <f>IF('Office Assumptions'!C25="# years","",'Office Assumptions'!C25)</f>
        <v/>
      </c>
    </row>
    <row r="475" spans="1:2" s="7" customFormat="1" x14ac:dyDescent="0.35">
      <c r="A475" s="81" t="s">
        <v>475</v>
      </c>
      <c r="B475" s="69" t="str">
        <f>IF('Office Assumptions'!C26="# years","",'Office Assumptions'!C26)</f>
        <v/>
      </c>
    </row>
    <row r="476" spans="1:2" s="7" customFormat="1" x14ac:dyDescent="0.35">
      <c r="A476" s="81" t="s">
        <v>476</v>
      </c>
      <c r="B476" s="69" t="str">
        <f>IF('Office Assumptions'!C27="# years","",'Office Assumptions'!C27)</f>
        <v/>
      </c>
    </row>
    <row r="477" spans="1:2" s="7" customFormat="1" x14ac:dyDescent="0.35">
      <c r="A477" s="81" t="s">
        <v>477</v>
      </c>
      <c r="B477" s="69" t="str">
        <f>IF('Office Assumptions'!C28="# years","",'Office Assumptions'!C28)</f>
        <v/>
      </c>
    </row>
    <row r="478" spans="1:2" s="7" customFormat="1" x14ac:dyDescent="0.35">
      <c r="A478" s="81" t="s">
        <v>478</v>
      </c>
      <c r="B478" s="69" t="str">
        <f>IF('Office Assumptions'!C29="# years","",'Office Assumptions'!C29)</f>
        <v/>
      </c>
    </row>
    <row r="479" spans="1:2" s="7" customFormat="1" x14ac:dyDescent="0.35">
      <c r="A479" s="81" t="s">
        <v>479</v>
      </c>
      <c r="B479" s="69" t="str">
        <f>IF('Office Assumptions'!C30="# years","",'Office Assumptions'!C30)</f>
        <v/>
      </c>
    </row>
    <row r="480" spans="1:2" s="7" customFormat="1" x14ac:dyDescent="0.35">
      <c r="A480" s="81" t="s">
        <v>480</v>
      </c>
      <c r="B480" s="69" t="str">
        <f>IF('Office Assumptions'!E21="$ per sf per year","",'Office Assumptions'!E21)</f>
        <v/>
      </c>
    </row>
    <row r="481" spans="1:2" s="7" customFormat="1" x14ac:dyDescent="0.35">
      <c r="A481" s="81" t="s">
        <v>481</v>
      </c>
      <c r="B481" s="69" t="str">
        <f>IF('Office Assumptions'!E22="$ per sf per year","",'Office Assumptions'!E22)</f>
        <v/>
      </c>
    </row>
    <row r="482" spans="1:2" s="7" customFormat="1" x14ac:dyDescent="0.35">
      <c r="A482" s="81" t="s">
        <v>482</v>
      </c>
      <c r="B482" s="69" t="str">
        <f>IF('Office Assumptions'!E23="$ per sf per year","",'Office Assumptions'!E23)</f>
        <v/>
      </c>
    </row>
    <row r="483" spans="1:2" s="7" customFormat="1" x14ac:dyDescent="0.35">
      <c r="A483" s="81" t="s">
        <v>483</v>
      </c>
      <c r="B483" s="69" t="str">
        <f>IF('Office Assumptions'!E24="$ per sf per year","",'Office Assumptions'!E24)</f>
        <v/>
      </c>
    </row>
    <row r="484" spans="1:2" s="7" customFormat="1" x14ac:dyDescent="0.35">
      <c r="A484" s="81" t="s">
        <v>484</v>
      </c>
      <c r="B484" s="69" t="str">
        <f>IF('Office Assumptions'!E25="$ per sf per year","",'Office Assumptions'!E25)</f>
        <v/>
      </c>
    </row>
    <row r="485" spans="1:2" s="7" customFormat="1" x14ac:dyDescent="0.35">
      <c r="A485" s="81" t="s">
        <v>485</v>
      </c>
      <c r="B485" s="69" t="str">
        <f>IF('Office Assumptions'!E26="$ per sf per year","",'Office Assumptions'!E26)</f>
        <v/>
      </c>
    </row>
    <row r="486" spans="1:2" s="7" customFormat="1" x14ac:dyDescent="0.35">
      <c r="A486" s="81" t="s">
        <v>486</v>
      </c>
      <c r="B486" s="69" t="str">
        <f>IF('Office Assumptions'!E27="$ per sf per year","",'Office Assumptions'!E27)</f>
        <v/>
      </c>
    </row>
    <row r="487" spans="1:2" s="7" customFormat="1" x14ac:dyDescent="0.35">
      <c r="A487" s="81" t="s">
        <v>487</v>
      </c>
      <c r="B487" s="69" t="str">
        <f>IF('Office Assumptions'!E28="$ per sf per year","",'Office Assumptions'!E28)</f>
        <v/>
      </c>
    </row>
    <row r="488" spans="1:2" s="7" customFormat="1" x14ac:dyDescent="0.35">
      <c r="A488" s="81" t="s">
        <v>488</v>
      </c>
      <c r="B488" s="69" t="str">
        <f>IF('Office Assumptions'!E29="$ per sf per year","",'Office Assumptions'!E29)</f>
        <v/>
      </c>
    </row>
    <row r="489" spans="1:2" s="7" customFormat="1" x14ac:dyDescent="0.35">
      <c r="A489" s="81" t="s">
        <v>489</v>
      </c>
      <c r="B489" s="69" t="str">
        <f>IF('Office Assumptions'!E30="$ per sf per year","",'Office Assumptions'!E30)</f>
        <v/>
      </c>
    </row>
    <row r="490" spans="1:2" s="7" customFormat="1" x14ac:dyDescent="0.35">
      <c r="A490" s="81" t="s">
        <v>490</v>
      </c>
      <c r="B490" s="69" t="str">
        <f>IF('Office Assumptions'!G21="%","",'Office Assumptions'!G21)</f>
        <v/>
      </c>
    </row>
    <row r="491" spans="1:2" s="7" customFormat="1" x14ac:dyDescent="0.35">
      <c r="A491" s="81" t="s">
        <v>491</v>
      </c>
      <c r="B491" s="69" t="str">
        <f>IF('Office Assumptions'!G22="%","",'Office Assumptions'!G22)</f>
        <v/>
      </c>
    </row>
    <row r="492" spans="1:2" s="7" customFormat="1" x14ac:dyDescent="0.35">
      <c r="A492" s="81" t="s">
        <v>492</v>
      </c>
      <c r="B492" s="69" t="str">
        <f>IF('Office Assumptions'!G23="%","",'Office Assumptions'!G23)</f>
        <v/>
      </c>
    </row>
    <row r="493" spans="1:2" s="7" customFormat="1" x14ac:dyDescent="0.35">
      <c r="A493" s="81" t="s">
        <v>493</v>
      </c>
      <c r="B493" s="69" t="str">
        <f>IF('Office Assumptions'!G24="%","",'Office Assumptions'!G24)</f>
        <v/>
      </c>
    </row>
    <row r="494" spans="1:2" s="7" customFormat="1" x14ac:dyDescent="0.35">
      <c r="A494" s="81" t="s">
        <v>494</v>
      </c>
      <c r="B494" s="69" t="str">
        <f>IF('Office Assumptions'!G25="%","",'Office Assumptions'!G25)</f>
        <v/>
      </c>
    </row>
    <row r="495" spans="1:2" s="7" customFormat="1" x14ac:dyDescent="0.35">
      <c r="A495" s="81" t="s">
        <v>495</v>
      </c>
      <c r="B495" s="69" t="str">
        <f>IF('Office Assumptions'!G26="%","",'Office Assumptions'!G26)</f>
        <v/>
      </c>
    </row>
    <row r="496" spans="1:2" s="7" customFormat="1" x14ac:dyDescent="0.35">
      <c r="A496" s="81" t="s">
        <v>496</v>
      </c>
      <c r="B496" s="69" t="str">
        <f>IF('Office Assumptions'!G27="%","",'Office Assumptions'!G27)</f>
        <v/>
      </c>
    </row>
    <row r="497" spans="1:2" s="7" customFormat="1" x14ac:dyDescent="0.35">
      <c r="A497" s="81" t="s">
        <v>497</v>
      </c>
      <c r="B497" s="69" t="str">
        <f>IF('Office Assumptions'!G28="%","",'Office Assumptions'!G28)</f>
        <v/>
      </c>
    </row>
    <row r="498" spans="1:2" s="7" customFormat="1" x14ac:dyDescent="0.35">
      <c r="A498" s="81" t="s">
        <v>498</v>
      </c>
      <c r="B498" s="69" t="str">
        <f>IF('Office Assumptions'!G29="%","",'Office Assumptions'!G29)</f>
        <v/>
      </c>
    </row>
    <row r="499" spans="1:2" s="7" customFormat="1" x14ac:dyDescent="0.35">
      <c r="A499" s="81" t="s">
        <v>499</v>
      </c>
      <c r="B499" s="69" t="str">
        <f>IF('Office Assumptions'!G30="%","",'Office Assumptions'!G30)</f>
        <v/>
      </c>
    </row>
    <row r="500" spans="1:2" s="7" customFormat="1" x14ac:dyDescent="0.35">
      <c r="A500" s="81" t="s">
        <v>500</v>
      </c>
      <c r="B500" s="69" t="str">
        <f>IF('Office Assumptions'!I21="every # months","",'Office Assumptions'!I21)</f>
        <v/>
      </c>
    </row>
    <row r="501" spans="1:2" s="7" customFormat="1" x14ac:dyDescent="0.35">
      <c r="A501" s="81" t="s">
        <v>501</v>
      </c>
      <c r="B501" s="69" t="str">
        <f>IF('Office Assumptions'!I22="every # months","",'Office Assumptions'!I22)</f>
        <v/>
      </c>
    </row>
    <row r="502" spans="1:2" s="7" customFormat="1" x14ac:dyDescent="0.35">
      <c r="A502" s="81" t="s">
        <v>502</v>
      </c>
      <c r="B502" s="69" t="str">
        <f>IF('Office Assumptions'!I23="every # months","",'Office Assumptions'!I23)</f>
        <v/>
      </c>
    </row>
    <row r="503" spans="1:2" s="7" customFormat="1" x14ac:dyDescent="0.35">
      <c r="A503" s="81" t="s">
        <v>503</v>
      </c>
      <c r="B503" s="69" t="str">
        <f>IF('Office Assumptions'!I24="every # months","",'Office Assumptions'!I24)</f>
        <v/>
      </c>
    </row>
    <row r="504" spans="1:2" s="7" customFormat="1" x14ac:dyDescent="0.35">
      <c r="A504" s="81" t="s">
        <v>504</v>
      </c>
      <c r="B504" s="69" t="str">
        <f>IF('Office Assumptions'!I25="every # months","",'Office Assumptions'!I25)</f>
        <v/>
      </c>
    </row>
    <row r="505" spans="1:2" s="7" customFormat="1" x14ac:dyDescent="0.35">
      <c r="A505" s="81" t="s">
        <v>505</v>
      </c>
      <c r="B505" s="69" t="str">
        <f>IF('Office Assumptions'!I26="every # months","",'Office Assumptions'!I26)</f>
        <v/>
      </c>
    </row>
    <row r="506" spans="1:2" s="7" customFormat="1" x14ac:dyDescent="0.35">
      <c r="A506" s="81" t="s">
        <v>506</v>
      </c>
      <c r="B506" s="69" t="str">
        <f>IF('Office Assumptions'!I27="every # months","",'Office Assumptions'!I27)</f>
        <v/>
      </c>
    </row>
    <row r="507" spans="1:2" s="7" customFormat="1" x14ac:dyDescent="0.35">
      <c r="A507" s="81" t="s">
        <v>507</v>
      </c>
      <c r="B507" s="69" t="str">
        <f>IF('Office Assumptions'!I28="every # months","",'Office Assumptions'!I28)</f>
        <v/>
      </c>
    </row>
    <row r="508" spans="1:2" s="7" customFormat="1" x14ac:dyDescent="0.35">
      <c r="A508" s="81" t="s">
        <v>508</v>
      </c>
      <c r="B508" s="69" t="str">
        <f>IF('Office Assumptions'!I29="every # months","",'Office Assumptions'!I29)</f>
        <v/>
      </c>
    </row>
    <row r="509" spans="1:2" s="7" customFormat="1" x14ac:dyDescent="0.35">
      <c r="A509" s="81" t="s">
        <v>509</v>
      </c>
      <c r="B509" s="69" t="str">
        <f>IF('Office Assumptions'!I30="every # months","",'Office Assumptions'!I30)</f>
        <v/>
      </c>
    </row>
    <row r="510" spans="1:2" s="7" customFormat="1" x14ac:dyDescent="0.35">
      <c r="A510" s="81" t="s">
        <v>510</v>
      </c>
      <c r="B510" s="69" t="str">
        <f>IF('Office Assumptions'!C33="% of lease value","",'Office Assumptions'!C33)</f>
        <v/>
      </c>
    </row>
    <row r="511" spans="1:2" s="7" customFormat="1" x14ac:dyDescent="0.35">
      <c r="A511" s="81" t="s">
        <v>511</v>
      </c>
      <c r="B511" s="69" t="str">
        <f>IF('Office Assumptions'!C34="% of lease value","",'Office Assumptions'!C34)</f>
        <v/>
      </c>
    </row>
    <row r="512" spans="1:2" s="7" customFormat="1" x14ac:dyDescent="0.35">
      <c r="A512" s="81" t="s">
        <v>512</v>
      </c>
      <c r="B512" s="69" t="str">
        <f>IF('Office Assumptions'!C35="% of lease value","",'Office Assumptions'!C35)</f>
        <v/>
      </c>
    </row>
    <row r="513" spans="1:2" s="7" customFormat="1" x14ac:dyDescent="0.35">
      <c r="A513" s="81" t="s">
        <v>513</v>
      </c>
      <c r="B513" s="69" t="str">
        <f>IF('Office Assumptions'!C36="% of lease value","",'Office Assumptions'!C36)</f>
        <v/>
      </c>
    </row>
    <row r="514" spans="1:2" s="7" customFormat="1" x14ac:dyDescent="0.35">
      <c r="A514" s="81" t="s">
        <v>514</v>
      </c>
      <c r="B514" s="69" t="str">
        <f>IF('Office Assumptions'!C37="% of lease value","",'Office Assumptions'!C37)</f>
        <v/>
      </c>
    </row>
    <row r="515" spans="1:2" s="7" customFormat="1" x14ac:dyDescent="0.35">
      <c r="A515" s="81" t="s">
        <v>515</v>
      </c>
      <c r="B515" s="69" t="str">
        <f>IF('Office Assumptions'!C38="% of lease value","",'Office Assumptions'!C38)</f>
        <v/>
      </c>
    </row>
    <row r="516" spans="1:2" s="7" customFormat="1" x14ac:dyDescent="0.35">
      <c r="A516" s="81" t="s">
        <v>516</v>
      </c>
      <c r="B516" s="69" t="str">
        <f>IF('Office Assumptions'!C39="% of lease value","",'Office Assumptions'!C39)</f>
        <v/>
      </c>
    </row>
    <row r="517" spans="1:2" s="7" customFormat="1" x14ac:dyDescent="0.35">
      <c r="A517" s="81" t="s">
        <v>517</v>
      </c>
      <c r="B517" s="69" t="str">
        <f>IF('Office Assumptions'!C40="% of lease value","",'Office Assumptions'!C40)</f>
        <v/>
      </c>
    </row>
    <row r="518" spans="1:2" s="7" customFormat="1" x14ac:dyDescent="0.35">
      <c r="A518" s="81" t="s">
        <v>518</v>
      </c>
      <c r="B518" s="69" t="str">
        <f>IF('Office Assumptions'!C41="% of lease value","",'Office Assumptions'!C41)</f>
        <v/>
      </c>
    </row>
    <row r="519" spans="1:2" s="7" customFormat="1" x14ac:dyDescent="0.35">
      <c r="A519" s="81" t="s">
        <v>519</v>
      </c>
      <c r="B519" s="69" t="str">
        <f>IF('Office Assumptions'!C42="% of lease value","",'Office Assumptions'!C42)</f>
        <v/>
      </c>
    </row>
    <row r="520" spans="1:2" s="7" customFormat="1" x14ac:dyDescent="0.35">
      <c r="A520" s="81" t="s">
        <v>520</v>
      </c>
      <c r="B520" s="69" t="str">
        <f>IF('Office Assumptions'!E33="$ per rentable sf","",'Office Assumptions'!E33)</f>
        <v/>
      </c>
    </row>
    <row r="521" spans="1:2" s="7" customFormat="1" x14ac:dyDescent="0.35">
      <c r="A521" s="81" t="s">
        <v>521</v>
      </c>
      <c r="B521" s="69" t="str">
        <f>IF('Office Assumptions'!E34="$ per rentable sf","",'Office Assumptions'!E34)</f>
        <v/>
      </c>
    </row>
    <row r="522" spans="1:2" s="7" customFormat="1" x14ac:dyDescent="0.35">
      <c r="A522" s="81" t="s">
        <v>522</v>
      </c>
      <c r="B522" s="69" t="str">
        <f>IF('Office Assumptions'!E35="$ per rentable sf","",'Office Assumptions'!E35)</f>
        <v/>
      </c>
    </row>
    <row r="523" spans="1:2" s="7" customFormat="1" x14ac:dyDescent="0.35">
      <c r="A523" s="81" t="s">
        <v>523</v>
      </c>
      <c r="B523" s="69" t="str">
        <f>IF('Office Assumptions'!E36="$ per rentable sf","",'Office Assumptions'!E36)</f>
        <v/>
      </c>
    </row>
    <row r="524" spans="1:2" s="7" customFormat="1" x14ac:dyDescent="0.35">
      <c r="A524" s="81" t="s">
        <v>524</v>
      </c>
      <c r="B524" s="69" t="str">
        <f>IF('Office Assumptions'!E37="$ per rentable sf","",'Office Assumptions'!E37)</f>
        <v/>
      </c>
    </row>
    <row r="525" spans="1:2" s="7" customFormat="1" x14ac:dyDescent="0.35">
      <c r="A525" s="81" t="s">
        <v>525</v>
      </c>
      <c r="B525" s="69" t="str">
        <f>IF('Office Assumptions'!E38="$ per rentable sf","",'Office Assumptions'!E38)</f>
        <v/>
      </c>
    </row>
    <row r="526" spans="1:2" s="7" customFormat="1" x14ac:dyDescent="0.35">
      <c r="A526" s="81" t="s">
        <v>526</v>
      </c>
      <c r="B526" s="69" t="str">
        <f>IF('Office Assumptions'!E39="$ per rentable sf","",'Office Assumptions'!E39)</f>
        <v/>
      </c>
    </row>
    <row r="527" spans="1:2" s="7" customFormat="1" x14ac:dyDescent="0.35">
      <c r="A527" s="81" t="s">
        <v>527</v>
      </c>
      <c r="B527" s="69" t="str">
        <f>IF('Office Assumptions'!E40="$ per rentable sf","",'Office Assumptions'!E40)</f>
        <v/>
      </c>
    </row>
    <row r="528" spans="1:2" s="7" customFormat="1" x14ac:dyDescent="0.35">
      <c r="A528" s="81" t="s">
        <v>528</v>
      </c>
      <c r="B528" s="69" t="str">
        <f>IF('Office Assumptions'!E41="$ per rentable sf","",'Office Assumptions'!E41)</f>
        <v/>
      </c>
    </row>
    <row r="529" spans="1:2" s="7" customFormat="1" x14ac:dyDescent="0.35">
      <c r="A529" s="81" t="s">
        <v>529</v>
      </c>
      <c r="B529" s="69" t="str">
        <f>IF('Office Assumptions'!E42="$ per rentable sf","",'Office Assumptions'!E42)</f>
        <v/>
      </c>
    </row>
    <row r="530" spans="1:2" s="7" customFormat="1" x14ac:dyDescent="0.35">
      <c r="A530" s="81" t="s">
        <v>530</v>
      </c>
      <c r="B530" s="69" t="str">
        <f>IF('Office Assumptions'!G33="# months","",'Office Assumptions'!G33)</f>
        <v/>
      </c>
    </row>
    <row r="531" spans="1:2" s="7" customFormat="1" x14ac:dyDescent="0.35">
      <c r="A531" s="81" t="s">
        <v>531</v>
      </c>
      <c r="B531" s="69" t="str">
        <f>IF('Office Assumptions'!G34="# months","",'Office Assumptions'!G34)</f>
        <v/>
      </c>
    </row>
    <row r="532" spans="1:2" s="7" customFormat="1" x14ac:dyDescent="0.35">
      <c r="A532" s="81" t="s">
        <v>532</v>
      </c>
      <c r="B532" s="69" t="str">
        <f>IF('Office Assumptions'!G35="# months","",'Office Assumptions'!G35)</f>
        <v/>
      </c>
    </row>
    <row r="533" spans="1:2" s="7" customFormat="1" x14ac:dyDescent="0.35">
      <c r="A533" s="81" t="s">
        <v>533</v>
      </c>
      <c r="B533" s="69" t="str">
        <f>IF('Office Assumptions'!G36="# months","",'Office Assumptions'!G36)</f>
        <v/>
      </c>
    </row>
    <row r="534" spans="1:2" s="7" customFormat="1" x14ac:dyDescent="0.35">
      <c r="A534" s="81" t="s">
        <v>534</v>
      </c>
      <c r="B534" s="69" t="str">
        <f>IF('Office Assumptions'!G37="# months","",'Office Assumptions'!G37)</f>
        <v/>
      </c>
    </row>
    <row r="535" spans="1:2" s="7" customFormat="1" x14ac:dyDescent="0.35">
      <c r="A535" s="81" t="s">
        <v>535</v>
      </c>
      <c r="B535" s="69" t="str">
        <f>IF('Office Assumptions'!G38="# months","",'Office Assumptions'!G38)</f>
        <v/>
      </c>
    </row>
    <row r="536" spans="1:2" s="7" customFormat="1" x14ac:dyDescent="0.35">
      <c r="A536" s="81" t="s">
        <v>536</v>
      </c>
      <c r="B536" s="69" t="str">
        <f>IF('Office Assumptions'!G39="# months","",'Office Assumptions'!G39)</f>
        <v/>
      </c>
    </row>
    <row r="537" spans="1:2" s="7" customFormat="1" x14ac:dyDescent="0.35">
      <c r="A537" s="81" t="s">
        <v>537</v>
      </c>
      <c r="B537" s="69" t="str">
        <f>IF('Office Assumptions'!G40="# months","",'Office Assumptions'!G40)</f>
        <v/>
      </c>
    </row>
    <row r="538" spans="1:2" s="7" customFormat="1" x14ac:dyDescent="0.35">
      <c r="A538" s="81" t="s">
        <v>538</v>
      </c>
      <c r="B538" s="69" t="str">
        <f>IF('Office Assumptions'!G41="# months","",'Office Assumptions'!G41)</f>
        <v/>
      </c>
    </row>
    <row r="539" spans="1:2" s="7" customFormat="1" x14ac:dyDescent="0.35">
      <c r="A539" s="81" t="s">
        <v>539</v>
      </c>
      <c r="B539" s="69" t="str">
        <f>IF('Office Assumptions'!G42="# months","",'Office Assumptions'!G42)</f>
        <v/>
      </c>
    </row>
    <row r="540" spans="1:2" s="7" customFormat="1" x14ac:dyDescent="0.35">
      <c r="A540" s="81" t="s">
        <v>349</v>
      </c>
      <c r="B540" s="69">
        <f>IF('Office Assumptions'!E48="# tenants",0,'Office Assumptions'!E48)</f>
        <v>0</v>
      </c>
    </row>
    <row r="541" spans="1:2" s="7" customFormat="1" x14ac:dyDescent="0.35">
      <c r="A541" s="81" t="s">
        <v>350</v>
      </c>
      <c r="B541" s="69">
        <f>IF('Office Assumptions'!E49="# sf per tenant",0,'Office Assumptions'!E49)</f>
        <v>0</v>
      </c>
    </row>
    <row r="542" spans="1:2" s="7" customFormat="1" x14ac:dyDescent="0.35">
      <c r="A542" s="81" t="s">
        <v>351</v>
      </c>
      <c r="B542" s="69">
        <f>IF('Office Assumptions'!E51="# years",0,'Office Assumptions'!E51)</f>
        <v>0</v>
      </c>
    </row>
    <row r="543" spans="1:2" s="7" customFormat="1" x14ac:dyDescent="0.35">
      <c r="A543" s="81" t="s">
        <v>352</v>
      </c>
      <c r="B543" s="69">
        <f>IF('Office Assumptions'!E52="$ per sf per year",0,'Office Assumptions'!E52)</f>
        <v>0</v>
      </c>
    </row>
    <row r="544" spans="1:2" s="7" customFormat="1" x14ac:dyDescent="0.35">
      <c r="A544" s="81" t="s">
        <v>353</v>
      </c>
      <c r="B544" s="69">
        <f>IF('Office Assumptions'!E53="% per year",0,'Office Assumptions'!E53)</f>
        <v>0</v>
      </c>
    </row>
    <row r="545" spans="1:2" s="7" customFormat="1" x14ac:dyDescent="0.35">
      <c r="A545" s="81" t="s">
        <v>354</v>
      </c>
      <c r="B545" s="69">
        <f>IF('Office Assumptions'!E54="# months",0,'Office Assumptions'!E54)</f>
        <v>0</v>
      </c>
    </row>
    <row r="546" spans="1:2" s="7" customFormat="1" x14ac:dyDescent="0.35">
      <c r="A546" s="81" t="s">
        <v>355</v>
      </c>
      <c r="B546" s="69">
        <f>IF('Office Assumptions'!E55="$ per rentable sf",0,'Office Assumptions'!E55)</f>
        <v>0</v>
      </c>
    </row>
    <row r="547" spans="1:2" s="7" customFormat="1" x14ac:dyDescent="0.35">
      <c r="A547" s="81" t="s">
        <v>356</v>
      </c>
      <c r="B547" s="69">
        <f>IF('Office Assumptions'!E56="% of lease value",0,'Office Assumptions'!E56)</f>
        <v>0</v>
      </c>
    </row>
    <row r="548" spans="1:2" s="7" customFormat="1" x14ac:dyDescent="0.35">
      <c r="A548" s="81" t="s">
        <v>357</v>
      </c>
      <c r="B548" s="69">
        <f>IF('Office Assumptions'!E58="% of gross potential revenue",0,'Office Assumptions'!E58)</f>
        <v>0</v>
      </c>
    </row>
    <row r="549" spans="1:2" s="7" customFormat="1" x14ac:dyDescent="0.35">
      <c r="A549" s="81" t="s">
        <v>358</v>
      </c>
      <c r="B549" s="69">
        <f>IF('Office Assumptions'!E59="% of gross potential revenue",0,'Office Assumptions'!E59)</f>
        <v>0</v>
      </c>
    </row>
    <row r="550" spans="1:2" s="7" customFormat="1" x14ac:dyDescent="0.35">
      <c r="A550" s="81" t="s">
        <v>359</v>
      </c>
      <c r="B550" s="69">
        <f>IF('Office Assumptions'!E61="% of tenants",0,'Office Assumptions'!E61)</f>
        <v>0</v>
      </c>
    </row>
    <row r="551" spans="1:2" s="7" customFormat="1" x14ac:dyDescent="0.35">
      <c r="A551" s="81" t="s">
        <v>360</v>
      </c>
      <c r="B551" s="69">
        <f>IF('Office Assumptions'!E62="# tenants",0,'Office Assumptions'!E62)</f>
        <v>0</v>
      </c>
    </row>
    <row r="552" spans="1:2" s="7" customFormat="1" x14ac:dyDescent="0.35">
      <c r="A552" s="81" t="s">
        <v>361</v>
      </c>
      <c r="B552" s="69">
        <f>IF('Office Assumptions'!E63="every # months",0,'Office Assumptions'!E63)</f>
        <v>0</v>
      </c>
    </row>
    <row r="553" spans="1:2" s="7" customFormat="1" x14ac:dyDescent="0.35">
      <c r="A553" s="81" t="s">
        <v>362</v>
      </c>
      <c r="B553" s="69">
        <f>IF('Office Assumptions'!G48="# tenants",0,'Office Assumptions'!G48)</f>
        <v>0</v>
      </c>
    </row>
    <row r="554" spans="1:2" s="7" customFormat="1" x14ac:dyDescent="0.35">
      <c r="A554" s="81" t="s">
        <v>363</v>
      </c>
      <c r="B554" s="69">
        <f>IF('Office Assumptions'!G49="# sf per tenant",0,'Office Assumptions'!G49)</f>
        <v>0</v>
      </c>
    </row>
    <row r="555" spans="1:2" s="7" customFormat="1" x14ac:dyDescent="0.35">
      <c r="A555" s="81" t="s">
        <v>364</v>
      </c>
      <c r="B555" s="69">
        <f>IF('Office Assumptions'!G51="# years",0,'Office Assumptions'!G51)</f>
        <v>0</v>
      </c>
    </row>
    <row r="556" spans="1:2" s="7" customFormat="1" x14ac:dyDescent="0.35">
      <c r="A556" s="81" t="s">
        <v>365</v>
      </c>
      <c r="B556" s="69">
        <f>IF('Office Assumptions'!G52="$ per sf per year",0,'Office Assumptions'!G52)</f>
        <v>0</v>
      </c>
    </row>
    <row r="557" spans="1:2" s="7" customFormat="1" x14ac:dyDescent="0.35">
      <c r="A557" s="81" t="s">
        <v>366</v>
      </c>
      <c r="B557" s="69">
        <f>IF('Office Assumptions'!G53="% per year",0,'Office Assumptions'!G53)</f>
        <v>0</v>
      </c>
    </row>
    <row r="558" spans="1:2" s="7" customFormat="1" x14ac:dyDescent="0.35">
      <c r="A558" s="81" t="s">
        <v>367</v>
      </c>
      <c r="B558" s="69">
        <f>IF('Office Assumptions'!G54="# months",0,'Office Assumptions'!G54)</f>
        <v>0</v>
      </c>
    </row>
    <row r="559" spans="1:2" s="7" customFormat="1" x14ac:dyDescent="0.35">
      <c r="A559" s="81" t="s">
        <v>368</v>
      </c>
      <c r="B559" s="69">
        <f>IF('Office Assumptions'!G55="$ per rentable sf",0,'Office Assumptions'!G55)</f>
        <v>0</v>
      </c>
    </row>
    <row r="560" spans="1:2" s="7" customFormat="1" x14ac:dyDescent="0.35">
      <c r="A560" s="81" t="s">
        <v>369</v>
      </c>
      <c r="B560" s="69">
        <f>IF('Office Assumptions'!G56="% of lease value",0,'Office Assumptions'!G56)</f>
        <v>0</v>
      </c>
    </row>
    <row r="561" spans="1:2" s="7" customFormat="1" x14ac:dyDescent="0.35">
      <c r="A561" s="81" t="s">
        <v>370</v>
      </c>
      <c r="B561" s="69">
        <f>IF('Office Assumptions'!G58="% of gross potential revenue",0,'Office Assumptions'!G58)</f>
        <v>0</v>
      </c>
    </row>
    <row r="562" spans="1:2" s="7" customFormat="1" x14ac:dyDescent="0.35">
      <c r="A562" s="81" t="s">
        <v>371</v>
      </c>
      <c r="B562" s="69">
        <f>IF('Office Assumptions'!G59="% of gross potential revenue",0,'Office Assumptions'!G59)</f>
        <v>0</v>
      </c>
    </row>
    <row r="563" spans="1:2" s="7" customFormat="1" x14ac:dyDescent="0.35">
      <c r="A563" s="81" t="s">
        <v>372</v>
      </c>
      <c r="B563" s="69">
        <f>IF('Office Assumptions'!G61="% of tenants",0,'Office Assumptions'!G61)</f>
        <v>0</v>
      </c>
    </row>
    <row r="564" spans="1:2" s="7" customFormat="1" x14ac:dyDescent="0.35">
      <c r="A564" s="81" t="s">
        <v>373</v>
      </c>
      <c r="B564" s="69">
        <f>IF('Office Assumptions'!G62="# tenants",0,'Office Assumptions'!G62)</f>
        <v>0</v>
      </c>
    </row>
    <row r="565" spans="1:2" s="7" customFormat="1" x14ac:dyDescent="0.35">
      <c r="A565" s="81" t="s">
        <v>374</v>
      </c>
      <c r="B565" s="69">
        <f>IF('Office Assumptions'!G63="every # months",0,'Office Assumptions'!G63)</f>
        <v>0</v>
      </c>
    </row>
    <row r="566" spans="1:2" s="7" customFormat="1" x14ac:dyDescent="0.35">
      <c r="A566" s="81" t="s">
        <v>375</v>
      </c>
      <c r="B566" s="69">
        <f>IF('Office Assumptions'!I48="# tenants",0,'Office Assumptions'!I48)</f>
        <v>0</v>
      </c>
    </row>
    <row r="567" spans="1:2" s="7" customFormat="1" x14ac:dyDescent="0.35">
      <c r="A567" s="81" t="s">
        <v>376</v>
      </c>
      <c r="B567" s="69">
        <f>IF('Office Assumptions'!I49="# sf per tenant",0,'Office Assumptions'!I49)</f>
        <v>0</v>
      </c>
    </row>
    <row r="568" spans="1:2" s="7" customFormat="1" x14ac:dyDescent="0.35">
      <c r="A568" s="81" t="s">
        <v>377</v>
      </c>
      <c r="B568" s="69">
        <f>IF('Office Assumptions'!I51="# years",0,'Office Assumptions'!I51)</f>
        <v>0</v>
      </c>
    </row>
    <row r="569" spans="1:2" s="7" customFormat="1" x14ac:dyDescent="0.35">
      <c r="A569" s="81" t="s">
        <v>378</v>
      </c>
      <c r="B569" s="69">
        <f>IF('Office Assumptions'!I52="$ per sf per year",0,'Office Assumptions'!I52)</f>
        <v>0</v>
      </c>
    </row>
    <row r="570" spans="1:2" s="7" customFormat="1" x14ac:dyDescent="0.35">
      <c r="A570" s="81" t="s">
        <v>379</v>
      </c>
      <c r="B570" s="69">
        <f>IF('Office Assumptions'!I53="% per year",0,'Office Assumptions'!I53)</f>
        <v>0</v>
      </c>
    </row>
    <row r="571" spans="1:2" s="7" customFormat="1" x14ac:dyDescent="0.35">
      <c r="A571" s="81" t="s">
        <v>380</v>
      </c>
      <c r="B571" s="69">
        <f>IF('Office Assumptions'!I54="# months",0,'Office Assumptions'!I54)</f>
        <v>0</v>
      </c>
    </row>
    <row r="572" spans="1:2" s="7" customFormat="1" x14ac:dyDescent="0.35">
      <c r="A572" s="81" t="s">
        <v>381</v>
      </c>
      <c r="B572" s="69">
        <f>IF('Office Assumptions'!I55="$ per rentable sf",0,'Office Assumptions'!I55)</f>
        <v>0</v>
      </c>
    </row>
    <row r="573" spans="1:2" s="7" customFormat="1" x14ac:dyDescent="0.35">
      <c r="A573" s="81" t="s">
        <v>382</v>
      </c>
      <c r="B573" s="69">
        <f>IF('Office Assumptions'!I56="% of lease value",0,'Office Assumptions'!I56)</f>
        <v>0</v>
      </c>
    </row>
    <row r="574" spans="1:2" s="7" customFormat="1" x14ac:dyDescent="0.35">
      <c r="A574" s="81" t="s">
        <v>383</v>
      </c>
      <c r="B574" s="69">
        <f>IF('Office Assumptions'!I58="% of gross potential revenue",0,'Office Assumptions'!I58)</f>
        <v>0</v>
      </c>
    </row>
    <row r="575" spans="1:2" s="7" customFormat="1" x14ac:dyDescent="0.35">
      <c r="A575" s="81" t="s">
        <v>384</v>
      </c>
      <c r="B575" s="69">
        <f>IF('Office Assumptions'!I59="% of gross potential revenue",0,'Office Assumptions'!I59)</f>
        <v>0</v>
      </c>
    </row>
    <row r="576" spans="1:2" s="7" customFormat="1" x14ac:dyDescent="0.35">
      <c r="A576" s="81" t="s">
        <v>385</v>
      </c>
      <c r="B576" s="69">
        <f>IF('Office Assumptions'!I61="% of tenants",0,'Office Assumptions'!I61)</f>
        <v>0</v>
      </c>
    </row>
    <row r="577" spans="1:2" s="7" customFormat="1" x14ac:dyDescent="0.35">
      <c r="A577" s="81" t="s">
        <v>386</v>
      </c>
      <c r="B577" s="69">
        <f>IF('Office Assumptions'!I62="# tenants",0,'Office Assumptions'!I62)</f>
        <v>0</v>
      </c>
    </row>
    <row r="578" spans="1:2" s="7" customFormat="1" x14ac:dyDescent="0.35">
      <c r="A578" s="81" t="s">
        <v>387</v>
      </c>
      <c r="B578" s="69">
        <f>IF('Office Assumptions'!I63="every # months",0,'Office Assumptions'!I63)</f>
        <v>0</v>
      </c>
    </row>
    <row r="579" spans="1:2" s="7" customFormat="1" x14ac:dyDescent="0.35">
      <c r="A579" s="81" t="s">
        <v>388</v>
      </c>
      <c r="B579" s="69">
        <f>IF('Office Assumptions'!K48="# tenants",0,'Office Assumptions'!K48)</f>
        <v>0</v>
      </c>
    </row>
    <row r="580" spans="1:2" s="7" customFormat="1" x14ac:dyDescent="0.35">
      <c r="A580" s="81" t="s">
        <v>389</v>
      </c>
      <c r="B580" s="69">
        <f>IF('Office Assumptions'!K49="# sf per tenant",0,'Office Assumptions'!K49)</f>
        <v>0</v>
      </c>
    </row>
    <row r="581" spans="1:2" s="7" customFormat="1" x14ac:dyDescent="0.35">
      <c r="A581" s="81" t="s">
        <v>390</v>
      </c>
      <c r="B581" s="69">
        <f>IF('Office Assumptions'!K51="# years",0,'Office Assumptions'!K51)</f>
        <v>0</v>
      </c>
    </row>
    <row r="582" spans="1:2" s="7" customFormat="1" x14ac:dyDescent="0.35">
      <c r="A582" s="81" t="s">
        <v>391</v>
      </c>
      <c r="B582" s="69">
        <f>IF('Office Assumptions'!K52="$ per sf per year",0,'Office Assumptions'!K52)</f>
        <v>0</v>
      </c>
    </row>
    <row r="583" spans="1:2" s="7" customFormat="1" x14ac:dyDescent="0.35">
      <c r="A583" s="81" t="s">
        <v>392</v>
      </c>
      <c r="B583" s="69">
        <f>IF('Office Assumptions'!K53="% per year",0,'Office Assumptions'!K53)</f>
        <v>0</v>
      </c>
    </row>
    <row r="584" spans="1:2" s="7" customFormat="1" x14ac:dyDescent="0.35">
      <c r="A584" s="81" t="s">
        <v>393</v>
      </c>
      <c r="B584" s="69">
        <f>IF('Office Assumptions'!K54="# months",0,'Office Assumptions'!K54)</f>
        <v>0</v>
      </c>
    </row>
    <row r="585" spans="1:2" s="7" customFormat="1" x14ac:dyDescent="0.35">
      <c r="A585" s="81" t="s">
        <v>394</v>
      </c>
      <c r="B585" s="69">
        <f>IF('Office Assumptions'!K55="$ per rentable sf",0,'Office Assumptions'!K55)</f>
        <v>0</v>
      </c>
    </row>
    <row r="586" spans="1:2" s="7" customFormat="1" x14ac:dyDescent="0.35">
      <c r="A586" s="81" t="s">
        <v>395</v>
      </c>
      <c r="B586" s="69">
        <f>IF('Office Assumptions'!K56="% of lease value",0,'Office Assumptions'!K56)</f>
        <v>0</v>
      </c>
    </row>
    <row r="587" spans="1:2" s="7" customFormat="1" x14ac:dyDescent="0.35">
      <c r="A587" s="81" t="s">
        <v>396</v>
      </c>
      <c r="B587" s="69">
        <f>IF('Office Assumptions'!K58="% of gross potential revenue",0,'Office Assumptions'!K58)</f>
        <v>0</v>
      </c>
    </row>
    <row r="588" spans="1:2" s="7" customFormat="1" x14ac:dyDescent="0.35">
      <c r="A588" s="81" t="s">
        <v>397</v>
      </c>
      <c r="B588" s="69">
        <f>IF('Office Assumptions'!K59="% of gross potential revenue",0,'Office Assumptions'!K59)</f>
        <v>0</v>
      </c>
    </row>
    <row r="589" spans="1:2" s="7" customFormat="1" x14ac:dyDescent="0.35">
      <c r="A589" s="81" t="s">
        <v>398</v>
      </c>
      <c r="B589" s="69">
        <f>IF('Office Assumptions'!K61="% of tenants",0,'Office Assumptions'!K61)</f>
        <v>0</v>
      </c>
    </row>
    <row r="590" spans="1:2" s="7" customFormat="1" x14ac:dyDescent="0.35">
      <c r="A590" s="81" t="s">
        <v>399</v>
      </c>
      <c r="B590" s="69">
        <f>IF('Office Assumptions'!K62="# tenants",0,'Office Assumptions'!K62)</f>
        <v>0</v>
      </c>
    </row>
    <row r="591" spans="1:2" s="7" customFormat="1" x14ac:dyDescent="0.35">
      <c r="A591" s="81" t="s">
        <v>400</v>
      </c>
      <c r="B591" s="69">
        <f>IF('Office Assumptions'!K63="every # months",0,'Office Assumptions'!K63)</f>
        <v>0</v>
      </c>
    </row>
    <row r="592" spans="1:2" s="7" customFormat="1" x14ac:dyDescent="0.35">
      <c r="A592" s="81" t="s">
        <v>401</v>
      </c>
      <c r="B592" s="69">
        <f>IF('Office Assumptions'!E68="$ per month",0,'Office Assumptions'!E68)</f>
        <v>0</v>
      </c>
    </row>
    <row r="593" spans="1:2" s="7" customFormat="1" x14ac:dyDescent="0.35">
      <c r="A593" s="81" t="s">
        <v>402</v>
      </c>
      <c r="B593" s="69">
        <f>IF('Office Assumptions'!E69="% per year",0,'Office Assumptions'!E69)</f>
        <v>0</v>
      </c>
    </row>
    <row r="594" spans="1:2" s="7" customFormat="1" x14ac:dyDescent="0.35">
      <c r="A594" s="81" t="s">
        <v>540</v>
      </c>
      <c r="B594" s="69" t="str">
        <f>IF(SUM(B595:B600)&gt;0,"Complex","Simple")</f>
        <v>Simple</v>
      </c>
    </row>
    <row r="595" spans="1:2" s="7" customFormat="1" x14ac:dyDescent="0.35">
      <c r="A595" s="81" t="s">
        <v>404</v>
      </c>
      <c r="B595" s="69">
        <f>IF('Office Assumptions'!E75="$ per sf per year",0,'Office Assumptions'!E75)</f>
        <v>0</v>
      </c>
    </row>
    <row r="596" spans="1:2" s="7" customFormat="1" x14ac:dyDescent="0.35">
      <c r="A596" s="81" t="s">
        <v>405</v>
      </c>
      <c r="B596" s="69">
        <f>IF('Office Assumptions'!E76="$ per sf per year",0,'Office Assumptions'!E76)</f>
        <v>0</v>
      </c>
    </row>
    <row r="597" spans="1:2" s="7" customFormat="1" x14ac:dyDescent="0.35">
      <c r="A597" s="81" t="s">
        <v>406</v>
      </c>
      <c r="B597" s="69">
        <f>IF('Office Assumptions'!E77="$ per sf per year",0,'Office Assumptions'!E77)</f>
        <v>0</v>
      </c>
    </row>
    <row r="598" spans="1:2" s="7" customFormat="1" x14ac:dyDescent="0.35">
      <c r="A598" s="81" t="s">
        <v>407</v>
      </c>
      <c r="B598" s="69">
        <f>IF('Office Assumptions'!E78="$ per sf per year",0,'Office Assumptions'!E78)</f>
        <v>0</v>
      </c>
    </row>
    <row r="599" spans="1:2" s="7" customFormat="1" x14ac:dyDescent="0.35">
      <c r="A599" s="81" t="s">
        <v>408</v>
      </c>
      <c r="B599" s="69">
        <f>IF('Office Assumptions'!E79="$ per sf per year",0,'Office Assumptions'!E79)</f>
        <v>0</v>
      </c>
    </row>
    <row r="600" spans="1:2" s="7" customFormat="1" x14ac:dyDescent="0.35">
      <c r="A600" s="81" t="s">
        <v>409</v>
      </c>
      <c r="B600" s="69">
        <f>IF('Office Assumptions'!E80="$ per sf per year",0,'Office Assumptions'!E80)</f>
        <v>0</v>
      </c>
    </row>
    <row r="601" spans="1:2" s="7" customFormat="1" x14ac:dyDescent="0.35">
      <c r="A601" s="81" t="s">
        <v>410</v>
      </c>
      <c r="B601" s="69" t="str">
        <f>IF('Office Assumptions'!G75="tenant / landlord","Landlord",'Office Assumptions'!G75)</f>
        <v>Landlord</v>
      </c>
    </row>
    <row r="602" spans="1:2" s="7" customFormat="1" x14ac:dyDescent="0.35">
      <c r="A602" s="81" t="s">
        <v>411</v>
      </c>
      <c r="B602" s="69" t="str">
        <f>IF('Office Assumptions'!G76="tenant / landlord","Landlord",'Office Assumptions'!G76)</f>
        <v>Landlord</v>
      </c>
    </row>
    <row r="603" spans="1:2" s="7" customFormat="1" x14ac:dyDescent="0.35">
      <c r="A603" s="81" t="s">
        <v>412</v>
      </c>
      <c r="B603" s="69" t="str">
        <f>IF('Office Assumptions'!G77="tenant / landlord","Landlord",'Office Assumptions'!G77)</f>
        <v>Landlord</v>
      </c>
    </row>
    <row r="604" spans="1:2" s="7" customFormat="1" x14ac:dyDescent="0.35">
      <c r="A604" s="81" t="s">
        <v>413</v>
      </c>
      <c r="B604" s="69" t="str">
        <f>IF('Office Assumptions'!G78="tenant / landlord","Landlord",'Office Assumptions'!G78)</f>
        <v>Landlord</v>
      </c>
    </row>
    <row r="605" spans="1:2" s="7" customFormat="1" x14ac:dyDescent="0.35">
      <c r="A605" s="81" t="s">
        <v>414</v>
      </c>
      <c r="B605" s="69" t="str">
        <f>IF('Office Assumptions'!G79="tenant / landlord","Landlord",'Office Assumptions'!G79)</f>
        <v>Landlord</v>
      </c>
    </row>
    <row r="606" spans="1:2" s="7" customFormat="1" x14ac:dyDescent="0.35">
      <c r="A606" s="81" t="s">
        <v>415</v>
      </c>
      <c r="B606" s="69" t="s">
        <v>416</v>
      </c>
    </row>
    <row r="607" spans="1:2" s="7" customFormat="1" x14ac:dyDescent="0.35">
      <c r="A607" s="81" t="s">
        <v>417</v>
      </c>
      <c r="B607" s="69">
        <f>IF('Office Assumptions'!E83="% of egr",0,'Office Assumptions'!E83)</f>
        <v>0</v>
      </c>
    </row>
    <row r="608" spans="1:2" s="7" customFormat="1" x14ac:dyDescent="0.35">
      <c r="A608" s="81" t="s">
        <v>418</v>
      </c>
      <c r="B608" s="69">
        <f>IF('Office Assumptions'!E88="% of egr",0,'Office Assumptions'!E88)</f>
        <v>0</v>
      </c>
    </row>
    <row r="609" spans="1:2" s="7" customFormat="1" x14ac:dyDescent="0.35">
      <c r="A609" s="81" t="s">
        <v>419</v>
      </c>
      <c r="B609" s="69">
        <f>IF('Office Assumptions'!E89="% of egr",0,'Office Assumptions'!E89)</f>
        <v>0</v>
      </c>
    </row>
    <row r="610" spans="1:2" s="7" customFormat="1" x14ac:dyDescent="0.35">
      <c r="A610" s="81" t="s">
        <v>420</v>
      </c>
      <c r="B610" s="69">
        <f>IF('Office Assumptions'!E94="% per year",0,'Office Assumptions'!E94)</f>
        <v>0</v>
      </c>
    </row>
    <row r="611" spans="1:2" s="7" customFormat="1" x14ac:dyDescent="0.35">
      <c r="A611" s="81" t="s">
        <v>421</v>
      </c>
      <c r="B611" s="69">
        <f>IF('Office Assumptions'!E99="%",0,'Office Assumptions'!E99)</f>
        <v>0</v>
      </c>
    </row>
    <row r="612" spans="1:2" s="7" customFormat="1" x14ac:dyDescent="0.35">
      <c r="A612" s="81" t="s">
        <v>422</v>
      </c>
      <c r="B612" s="69">
        <f>IF('Office Assumptions'!E104="# sf",0,'Office Assumptions'!E104)</f>
        <v>0</v>
      </c>
    </row>
    <row r="613" spans="1:2" s="7" customFormat="1" x14ac:dyDescent="0.35">
      <c r="A613" s="81" t="s">
        <v>423</v>
      </c>
      <c r="B613" s="69">
        <f>IF('Office Assumptions'!E105="% of gross sf",0,'Office Assumptions'!E105)</f>
        <v>0</v>
      </c>
    </row>
    <row r="614" spans="1:2" s="7" customFormat="1" x14ac:dyDescent="0.35">
      <c r="A614" s="81" t="s">
        <v>424</v>
      </c>
      <c r="B614" s="69">
        <f>IF('Office Assumptions'!E106="% of gross sf",0,'Office Assumptions'!E106)</f>
        <v>0</v>
      </c>
    </row>
    <row r="615" spans="1:2" s="7" customFormat="1" x14ac:dyDescent="0.35">
      <c r="A615" s="81" t="s">
        <v>425</v>
      </c>
      <c r="B615" s="69">
        <f>IF('Office Assumptions'!E107="% of gross sf",0,'Office Assumptions'!E107)</f>
        <v>0</v>
      </c>
    </row>
    <row r="616" spans="1:2" s="7" customFormat="1" x14ac:dyDescent="0.35">
      <c r="A616" s="81" t="s">
        <v>426</v>
      </c>
      <c r="B616" s="69" t="str">
        <f>IF('Office Assumptions'!G104="yes / no","No",'Office Assumptions'!G104)</f>
        <v>No</v>
      </c>
    </row>
    <row r="617" spans="1:2" s="7" customFormat="1" x14ac:dyDescent="0.35">
      <c r="A617" s="81" t="s">
        <v>427</v>
      </c>
      <c r="B617" s="69" t="str">
        <f>IF('Office Assumptions'!G105="yes / no","No",'Office Assumptions'!G105)</f>
        <v>No</v>
      </c>
    </row>
    <row r="618" spans="1:2" s="7" customFormat="1" x14ac:dyDescent="0.35">
      <c r="A618" s="81" t="s">
        <v>428</v>
      </c>
      <c r="B618" s="69" t="str">
        <f>IF('Office Assumptions'!G106="yes / no","No",'Office Assumptions'!G106)</f>
        <v>No</v>
      </c>
    </row>
    <row r="619" spans="1:2" s="7" customFormat="1" x14ac:dyDescent="0.35">
      <c r="A619" s="81" t="s">
        <v>429</v>
      </c>
      <c r="B619" s="69" t="str">
        <f>IF('Office Assumptions'!G107="yes / no","No",'Office Assumptions'!G107)</f>
        <v>No</v>
      </c>
    </row>
    <row r="620" spans="1:2" s="7" customFormat="1" x14ac:dyDescent="0.35">
      <c r="A620" s="81" t="s">
        <v>541</v>
      </c>
      <c r="B620" s="69" t="str">
        <f>IF(SUM(B621:B623)&gt;0,"Complex","Simple")</f>
        <v>Simple</v>
      </c>
    </row>
    <row r="621" spans="1:2" s="7" customFormat="1" x14ac:dyDescent="0.35">
      <c r="A621" s="81" t="s">
        <v>542</v>
      </c>
      <c r="B621" s="69">
        <f>IF('Hotel Assumptions'!D9="# keys",0,'Hotel Assumptions'!D9)</f>
        <v>0</v>
      </c>
    </row>
    <row r="622" spans="1:2" s="7" customFormat="1" x14ac:dyDescent="0.35">
      <c r="A622" s="81" t="s">
        <v>543</v>
      </c>
      <c r="B622" s="69">
        <f>IF('Hotel Assumptions'!D10="# keys",0,'Hotel Assumptions'!D10)</f>
        <v>0</v>
      </c>
    </row>
    <row r="623" spans="1:2" s="7" customFormat="1" x14ac:dyDescent="0.35">
      <c r="A623" s="81" t="s">
        <v>544</v>
      </c>
      <c r="B623" s="69">
        <f>IF('Hotel Assumptions'!D11="# keys",0,'Hotel Assumptions'!D11)</f>
        <v>0</v>
      </c>
    </row>
    <row r="624" spans="1:2" s="7" customFormat="1" x14ac:dyDescent="0.35">
      <c r="A624" s="81" t="s">
        <v>545</v>
      </c>
      <c r="B624" s="69">
        <f>IF(SUM(B621:B623)&gt;0,SUM(B621:B623),IF('Hotel Assumptions'!D12="# keys",0,'Hotel Assumptions'!D12))</f>
        <v>0</v>
      </c>
    </row>
    <row r="625" spans="1:2" s="7" customFormat="1" x14ac:dyDescent="0.35">
      <c r="A625" s="81" t="s">
        <v>546</v>
      </c>
      <c r="B625" s="69">
        <f>IF('Hotel Assumptions'!D17="# sf per key",0,'Hotel Assumptions'!D17)</f>
        <v>0</v>
      </c>
    </row>
    <row r="626" spans="1:2" s="7" customFormat="1" x14ac:dyDescent="0.35">
      <c r="A626" s="81" t="s">
        <v>547</v>
      </c>
      <c r="B626" s="69">
        <f>IF('Hotel Assumptions'!D18="# sf per key",0,'Hotel Assumptions'!D18)</f>
        <v>0</v>
      </c>
    </row>
    <row r="627" spans="1:2" s="7" customFormat="1" x14ac:dyDescent="0.35">
      <c r="A627" s="81" t="s">
        <v>548</v>
      </c>
      <c r="B627" s="69">
        <f>IF('Hotel Assumptions'!D19="# sf per key",0,'Hotel Assumptions'!D19)</f>
        <v>0</v>
      </c>
    </row>
    <row r="628" spans="1:2" s="7" customFormat="1" x14ac:dyDescent="0.35">
      <c r="A628" s="81" t="s">
        <v>549</v>
      </c>
      <c r="B628" s="69">
        <f>IF(SUM(B625:B627)&gt;0,SUMPRODUCT(B625:B627,B621:B623)/B624,IF('Hotel Assumptions'!D20="# sf per key",0,'Hotel Assumptions'!D20))</f>
        <v>0</v>
      </c>
    </row>
    <row r="629" spans="1:2" s="7" customFormat="1" x14ac:dyDescent="0.35">
      <c r="A629" s="81" t="s">
        <v>550</v>
      </c>
      <c r="B629" s="69">
        <f>IF('Hotel Assumptions'!D25="$ per key per day",0,'Hotel Assumptions'!D25)</f>
        <v>0</v>
      </c>
    </row>
    <row r="630" spans="1:2" s="7" customFormat="1" x14ac:dyDescent="0.35">
      <c r="A630" s="81" t="s">
        <v>551</v>
      </c>
      <c r="B630" s="69">
        <f>IF('Hotel Assumptions'!D26="$ per key per day",0,'Hotel Assumptions'!D26)</f>
        <v>0</v>
      </c>
    </row>
    <row r="631" spans="1:2" s="7" customFormat="1" x14ac:dyDescent="0.35">
      <c r="A631" s="81" t="s">
        <v>552</v>
      </c>
      <c r="B631" s="69">
        <f>IF('Hotel Assumptions'!D27="$ per key per day",0,'Hotel Assumptions'!D27)</f>
        <v>0</v>
      </c>
    </row>
    <row r="632" spans="1:2" s="7" customFormat="1" x14ac:dyDescent="0.35">
      <c r="A632" s="81" t="s">
        <v>553</v>
      </c>
      <c r="B632" s="69">
        <f>IF(SUM(B629:B631)&gt;0,SUMPRODUCT(B629:B631,B625:B627,B621:B623)/(B624*B628),IF('Hotel Assumptions'!D28="$ per key per day",0,'Hotel Assumptions'!D28))</f>
        <v>0</v>
      </c>
    </row>
    <row r="633" spans="1:2" s="7" customFormat="1" x14ac:dyDescent="0.35">
      <c r="A633" s="81" t="s">
        <v>554</v>
      </c>
      <c r="B633" s="69">
        <f>IF('Hotel Assumptions'!D33="$ per occupied room per day",0,'Hotel Assumptions'!D33)</f>
        <v>0</v>
      </c>
    </row>
    <row r="634" spans="1:2" s="7" customFormat="1" x14ac:dyDescent="0.35">
      <c r="A634" s="81" t="s">
        <v>555</v>
      </c>
      <c r="B634" s="69">
        <f>IF('Hotel Assumptions'!D34="$ per occupied room per day",0,'Hotel Assumptions'!D34)</f>
        <v>0</v>
      </c>
    </row>
    <row r="635" spans="1:2" s="7" customFormat="1" x14ac:dyDescent="0.35">
      <c r="A635" s="81" t="s">
        <v>556</v>
      </c>
      <c r="B635" s="69">
        <f>IF('Hotel Assumptions'!D35="$ total per month",0,'Hotel Assumptions'!D35)</f>
        <v>0</v>
      </c>
    </row>
    <row r="636" spans="1:2" s="7" customFormat="1" x14ac:dyDescent="0.35">
      <c r="A636" s="78" t="s">
        <v>557</v>
      </c>
      <c r="B636" s="69">
        <f>IF('Hotel Assumptions'!D40="% per year",0,'Hotel Assumptions'!D40)</f>
        <v>0</v>
      </c>
    </row>
    <row r="637" spans="1:2" s="7" customFormat="1" x14ac:dyDescent="0.35">
      <c r="A637" s="81" t="s">
        <v>558</v>
      </c>
      <c r="B637" s="69" t="str">
        <f>IF(SUM(B638:B641,B643:B650,B652:B654)&gt;0,"Complex","Simple")</f>
        <v>Simple</v>
      </c>
    </row>
    <row r="638" spans="1:2" s="7" customFormat="1" x14ac:dyDescent="0.35">
      <c r="A638" s="81" t="s">
        <v>559</v>
      </c>
      <c r="B638" s="69">
        <f>IF('Hotel Assumptions'!D46="$ per occupied room per day",0,'Hotel Assumptions'!D46)</f>
        <v>0</v>
      </c>
    </row>
    <row r="639" spans="1:2" s="7" customFormat="1" x14ac:dyDescent="0.35">
      <c r="A639" s="81" t="s">
        <v>560</v>
      </c>
      <c r="B639" s="69">
        <f>IF('Hotel Assumptions'!D47="$ per occupied room per day",0,'Hotel Assumptions'!D47)</f>
        <v>0</v>
      </c>
    </row>
    <row r="640" spans="1:2" s="7" customFormat="1" x14ac:dyDescent="0.35">
      <c r="A640" s="81" t="s">
        <v>561</v>
      </c>
      <c r="B640" s="69">
        <f>IF('Hotel Assumptions'!D48="$ per occupied room per day",0,'Hotel Assumptions'!D48)</f>
        <v>0</v>
      </c>
    </row>
    <row r="641" spans="1:2" s="7" customFormat="1" x14ac:dyDescent="0.35">
      <c r="A641" s="81" t="s">
        <v>562</v>
      </c>
      <c r="B641" s="69">
        <f>IF('Hotel Assumptions'!D49="$ per occupied room per day",0,'Hotel Assumptions'!D49)</f>
        <v>0</v>
      </c>
    </row>
    <row r="642" spans="1:2" s="7" customFormat="1" x14ac:dyDescent="0.35">
      <c r="A642" s="81" t="s">
        <v>563</v>
      </c>
      <c r="B642" s="69">
        <f>IF('Hotel Assumptions'!D52="% of egr",0,'Hotel Assumptions'!D52)</f>
        <v>0</v>
      </c>
    </row>
    <row r="643" spans="1:2" s="7" customFormat="1" x14ac:dyDescent="0.35">
      <c r="A643" s="81" t="s">
        <v>564</v>
      </c>
      <c r="B643" s="69">
        <f>IF('Hotel Assumptions'!D58="$ total per month",0,'Hotel Assumptions'!D58)</f>
        <v>0</v>
      </c>
    </row>
    <row r="644" spans="1:2" s="7" customFormat="1" x14ac:dyDescent="0.35">
      <c r="A644" s="81" t="s">
        <v>565</v>
      </c>
      <c r="B644" s="69">
        <f>IF('Hotel Assumptions'!D59="$ total per month",0,'Hotel Assumptions'!D59)</f>
        <v>0</v>
      </c>
    </row>
    <row r="645" spans="1:2" s="7" customFormat="1" x14ac:dyDescent="0.35">
      <c r="A645" s="81" t="s">
        <v>566</v>
      </c>
      <c r="B645" s="69">
        <f>IF('Hotel Assumptions'!D60="$ total per month",0,'Hotel Assumptions'!D60)</f>
        <v>0</v>
      </c>
    </row>
    <row r="646" spans="1:2" s="7" customFormat="1" x14ac:dyDescent="0.35">
      <c r="A646" s="81" t="s">
        <v>567</v>
      </c>
      <c r="B646" s="69">
        <f>IF('Hotel Assumptions'!D61="$ total per month",0,'Hotel Assumptions'!D61)</f>
        <v>0</v>
      </c>
    </row>
    <row r="647" spans="1:2" s="7" customFormat="1" x14ac:dyDescent="0.35">
      <c r="A647" s="81" t="s">
        <v>568</v>
      </c>
      <c r="B647" s="69">
        <f>IF('Hotel Assumptions'!D62="$ total per month",0,'Hotel Assumptions'!D62)</f>
        <v>0</v>
      </c>
    </row>
    <row r="648" spans="1:2" s="7" customFormat="1" x14ac:dyDescent="0.35">
      <c r="A648" s="81" t="s">
        <v>569</v>
      </c>
      <c r="B648" s="69">
        <f>IF('Hotel Assumptions'!D63="$ total per month",0,'Hotel Assumptions'!D63)</f>
        <v>0</v>
      </c>
    </row>
    <row r="649" spans="1:2" s="7" customFormat="1" x14ac:dyDescent="0.35">
      <c r="A649" s="81" t="s">
        <v>570</v>
      </c>
      <c r="B649" s="69">
        <f>IF('Hotel Assumptions'!D64="$ total per month",0,'Hotel Assumptions'!D64)</f>
        <v>0</v>
      </c>
    </row>
    <row r="650" spans="1:2" s="7" customFormat="1" x14ac:dyDescent="0.35">
      <c r="A650" s="81" t="s">
        <v>571</v>
      </c>
      <c r="B650" s="69">
        <f>IF('Hotel Assumptions'!D65="$ total per month",0,'Hotel Assumptions'!D65)</f>
        <v>0</v>
      </c>
    </row>
    <row r="651" spans="1:2" s="7" customFormat="1" x14ac:dyDescent="0.35">
      <c r="A651" s="81" t="s">
        <v>572</v>
      </c>
      <c r="B651" s="69">
        <f>IF('Hotel Assumptions'!D68="% of egr",0,'Hotel Assumptions'!D68)</f>
        <v>0</v>
      </c>
    </row>
    <row r="652" spans="1:2" s="7" customFormat="1" x14ac:dyDescent="0.35">
      <c r="A652" s="81" t="s">
        <v>573</v>
      </c>
      <c r="B652" s="69">
        <f>IF('Hotel Assumptions'!D74="$ total per month",0,'Hotel Assumptions'!D74)</f>
        <v>0</v>
      </c>
    </row>
    <row r="653" spans="1:2" s="7" customFormat="1" x14ac:dyDescent="0.35">
      <c r="A653" s="81" t="s">
        <v>574</v>
      </c>
      <c r="B653" s="69">
        <f>IF('Hotel Assumptions'!D75="$ total per month",0,'Hotel Assumptions'!D75)</f>
        <v>0</v>
      </c>
    </row>
    <row r="654" spans="1:2" s="7" customFormat="1" x14ac:dyDescent="0.35">
      <c r="A654" s="81" t="s">
        <v>575</v>
      </c>
      <c r="B654" s="69">
        <f>IF('Hotel Assumptions'!D76="$ total per month",0,'Hotel Assumptions'!D76)</f>
        <v>0</v>
      </c>
    </row>
    <row r="655" spans="1:2" s="7" customFormat="1" x14ac:dyDescent="0.35">
      <c r="A655" s="81" t="s">
        <v>576</v>
      </c>
      <c r="B655" s="69">
        <f>IF('Hotel Assumptions'!D79="% of egr",0,'Hotel Assumptions'!D79)</f>
        <v>0</v>
      </c>
    </row>
    <row r="656" spans="1:2" s="7" customFormat="1" x14ac:dyDescent="0.35">
      <c r="A656" s="81" t="s">
        <v>418</v>
      </c>
      <c r="B656" s="69">
        <f>IF('Hotel Assumptions'!D84="% of egr",0,'Hotel Assumptions'!D84)</f>
        <v>0</v>
      </c>
    </row>
    <row r="657" spans="1:2" s="7" customFormat="1" x14ac:dyDescent="0.35">
      <c r="A657" s="81" t="s">
        <v>419</v>
      </c>
      <c r="B657" s="69">
        <f>IF('Hotel Assumptions'!D85="% of egr",0,'Hotel Assumptions'!D85)</f>
        <v>0</v>
      </c>
    </row>
    <row r="658" spans="1:2" s="7" customFormat="1" x14ac:dyDescent="0.35">
      <c r="A658" s="81" t="s">
        <v>420</v>
      </c>
      <c r="B658" s="69">
        <f>IF('Hotel Assumptions'!D90="% per year",0,'Hotel Assumptions'!D90)</f>
        <v>0</v>
      </c>
    </row>
    <row r="659" spans="1:2" s="7" customFormat="1" x14ac:dyDescent="0.35">
      <c r="A659" s="81" t="s">
        <v>577</v>
      </c>
      <c r="B659" s="69">
        <f>IF('Hotel Assumptions'!D95="% of total key count",0,'Hotel Assumptions'!D95)</f>
        <v>0</v>
      </c>
    </row>
    <row r="660" spans="1:2" s="7" customFormat="1" x14ac:dyDescent="0.35">
      <c r="A660" s="81" t="s">
        <v>578</v>
      </c>
      <c r="B660" s="69">
        <f>IF('Hotel Assumptions'!D96="% of total key count",0,'Hotel Assumptions'!D96)</f>
        <v>0</v>
      </c>
    </row>
    <row r="661" spans="1:2" s="7" customFormat="1" x14ac:dyDescent="0.35">
      <c r="A661" s="81" t="s">
        <v>579</v>
      </c>
      <c r="B661" s="69">
        <f>IF('Hotel Assumptions'!D97="# months",0,'Hotel Assumptions'!D97)</f>
        <v>0</v>
      </c>
    </row>
    <row r="662" spans="1:2" s="7" customFormat="1" x14ac:dyDescent="0.35">
      <c r="A662" s="81" t="s">
        <v>421</v>
      </c>
      <c r="B662" s="69">
        <f>IF('Hotel Assumptions'!D102="%",0,'Hotel Assumptions'!D102)</f>
        <v>0</v>
      </c>
    </row>
    <row r="663" spans="1:2" s="7" customFormat="1" x14ac:dyDescent="0.35">
      <c r="A663" s="81" t="s">
        <v>580</v>
      </c>
      <c r="B663" s="69">
        <f>IF('Hotel Assumptions'!D107="# sf",0,'Hotel Assumptions'!D107)</f>
        <v>0</v>
      </c>
    </row>
    <row r="664" spans="1:2" s="7" customFormat="1" x14ac:dyDescent="0.35">
      <c r="A664" s="81" t="s">
        <v>581</v>
      </c>
      <c r="B664" s="69">
        <f>IF('Hotel Assumptions'!D108="% of gross sf",0,'Hotel Assumptions'!D108)</f>
        <v>0</v>
      </c>
    </row>
    <row r="665" spans="1:2" s="7" customFormat="1" x14ac:dyDescent="0.35">
      <c r="A665" s="81" t="s">
        <v>582</v>
      </c>
      <c r="B665" s="69">
        <f>IF('Hotel Assumptions'!D109="% of gross sf",0,'Hotel Assumptions'!D109)</f>
        <v>0</v>
      </c>
    </row>
    <row r="666" spans="1:2" s="7" customFormat="1" x14ac:dyDescent="0.35">
      <c r="A666" s="81" t="s">
        <v>583</v>
      </c>
      <c r="B666" s="69">
        <f>IF('Hotel Assumptions'!D110="% of gross sf",0,'Hotel Assumptions'!D110)</f>
        <v>0</v>
      </c>
    </row>
    <row r="667" spans="1:2" s="7" customFormat="1" x14ac:dyDescent="0.35">
      <c r="A667" s="81" t="s">
        <v>584</v>
      </c>
      <c r="B667" s="69" t="str">
        <f>'Industrial Assumptions'!C9</f>
        <v>name</v>
      </c>
    </row>
    <row r="668" spans="1:2" s="7" customFormat="1" x14ac:dyDescent="0.35">
      <c r="A668" s="81" t="s">
        <v>585</v>
      </c>
      <c r="B668" s="69" t="str">
        <f>'Industrial Assumptions'!C10</f>
        <v>name</v>
      </c>
    </row>
    <row r="669" spans="1:2" s="7" customFormat="1" x14ac:dyDescent="0.35">
      <c r="A669" s="81" t="s">
        <v>586</v>
      </c>
      <c r="B669" s="69" t="str">
        <f>'Industrial Assumptions'!C11</f>
        <v>name</v>
      </c>
    </row>
    <row r="670" spans="1:2" s="7" customFormat="1" x14ac:dyDescent="0.35">
      <c r="A670" s="81" t="s">
        <v>587</v>
      </c>
      <c r="B670" s="69" t="str">
        <f>'Industrial Assumptions'!C12</f>
        <v>name</v>
      </c>
    </row>
    <row r="671" spans="1:2" s="7" customFormat="1" x14ac:dyDescent="0.35">
      <c r="A671" s="81" t="s">
        <v>588</v>
      </c>
      <c r="B671" s="69" t="str">
        <f>'Industrial Assumptions'!C13</f>
        <v>name</v>
      </c>
    </row>
    <row r="672" spans="1:2" s="7" customFormat="1" x14ac:dyDescent="0.35">
      <c r="A672" s="81" t="s">
        <v>589</v>
      </c>
      <c r="B672" s="69" t="str">
        <f>'Industrial Assumptions'!C14</f>
        <v>name</v>
      </c>
    </row>
    <row r="673" spans="1:2" s="7" customFormat="1" x14ac:dyDescent="0.35">
      <c r="A673" s="81" t="s">
        <v>590</v>
      </c>
      <c r="B673" s="69" t="str">
        <f>'Industrial Assumptions'!C15</f>
        <v>name</v>
      </c>
    </row>
    <row r="674" spans="1:2" s="7" customFormat="1" x14ac:dyDescent="0.35">
      <c r="A674" s="81" t="s">
        <v>591</v>
      </c>
      <c r="B674" s="69" t="str">
        <f>'Industrial Assumptions'!C16</f>
        <v>name</v>
      </c>
    </row>
    <row r="675" spans="1:2" s="7" customFormat="1" x14ac:dyDescent="0.35">
      <c r="A675" s="81" t="s">
        <v>592</v>
      </c>
      <c r="B675" s="69" t="str">
        <f>'Industrial Assumptions'!C17</f>
        <v>name</v>
      </c>
    </row>
    <row r="676" spans="1:2" s="7" customFormat="1" x14ac:dyDescent="0.35">
      <c r="A676" s="81" t="s">
        <v>593</v>
      </c>
      <c r="B676" s="69" t="str">
        <f>'Industrial Assumptions'!C18</f>
        <v>name</v>
      </c>
    </row>
    <row r="677" spans="1:2" s="7" customFormat="1" x14ac:dyDescent="0.35">
      <c r="A677" s="81" t="s">
        <v>594</v>
      </c>
      <c r="B677" s="69" t="str">
        <f>IF('Industrial Assumptions'!E9="manufacturing, warehouse/distribution, food processing/cold storage, specialty/other","",'Industrial Assumptions'!E9)</f>
        <v/>
      </c>
    </row>
    <row r="678" spans="1:2" s="7" customFormat="1" x14ac:dyDescent="0.35">
      <c r="A678" s="81" t="s">
        <v>595</v>
      </c>
      <c r="B678" s="69" t="str">
        <f>IF('Industrial Assumptions'!E10="manufacturing, warehouse/distribution, food processing/cold storage, specialty/other","",'Industrial Assumptions'!E10)</f>
        <v/>
      </c>
    </row>
    <row r="679" spans="1:2" s="7" customFormat="1" x14ac:dyDescent="0.35">
      <c r="A679" s="81" t="s">
        <v>596</v>
      </c>
      <c r="B679" s="69" t="str">
        <f>IF('Industrial Assumptions'!E11="manufacturing, warehouse/distribution, food processing/cold storage, specialty/other","",'Industrial Assumptions'!E11)</f>
        <v/>
      </c>
    </row>
    <row r="680" spans="1:2" s="7" customFormat="1" x14ac:dyDescent="0.35">
      <c r="A680" s="81" t="s">
        <v>597</v>
      </c>
      <c r="B680" s="69" t="str">
        <f>IF('Industrial Assumptions'!E12="manufacturing, warehouse/distribution, food processing/cold storage, specialty/other","",'Industrial Assumptions'!E12)</f>
        <v/>
      </c>
    </row>
    <row r="681" spans="1:2" s="7" customFormat="1" x14ac:dyDescent="0.35">
      <c r="A681" s="81" t="s">
        <v>598</v>
      </c>
      <c r="B681" s="69" t="str">
        <f>IF('Industrial Assumptions'!E13="manufacturing, warehouse/distribution, food processing/cold storage, specialty/other","",'Industrial Assumptions'!E13)</f>
        <v/>
      </c>
    </row>
    <row r="682" spans="1:2" s="7" customFormat="1" x14ac:dyDescent="0.35">
      <c r="A682" s="81" t="s">
        <v>599</v>
      </c>
      <c r="B682" s="69" t="str">
        <f>IF('Industrial Assumptions'!E14="manufacturing, warehouse/distribution, food processing/cold storage, specialty/other","",'Industrial Assumptions'!E14)</f>
        <v/>
      </c>
    </row>
    <row r="683" spans="1:2" s="7" customFormat="1" x14ac:dyDescent="0.35">
      <c r="A683" s="81" t="s">
        <v>600</v>
      </c>
      <c r="B683" s="69" t="str">
        <f>IF('Industrial Assumptions'!E15="manufacturing, warehouse/distribution, food processing/cold storage, specialty/other","",'Industrial Assumptions'!E15)</f>
        <v/>
      </c>
    </row>
    <row r="684" spans="1:2" s="7" customFormat="1" x14ac:dyDescent="0.35">
      <c r="A684" s="81" t="s">
        <v>601</v>
      </c>
      <c r="B684" s="69" t="str">
        <f>IF('Industrial Assumptions'!E16="manufacturing, warehouse/distribution, food processing/cold storage, specialty/other","",'Industrial Assumptions'!E16)</f>
        <v/>
      </c>
    </row>
    <row r="685" spans="1:2" s="7" customFormat="1" x14ac:dyDescent="0.35">
      <c r="A685" s="81" t="s">
        <v>602</v>
      </c>
      <c r="B685" s="69" t="str">
        <f>IF('Industrial Assumptions'!E17="manufacturing, warehouse/distribution, food processing/cold storage, specialty/other","",'Industrial Assumptions'!E17)</f>
        <v/>
      </c>
    </row>
    <row r="686" spans="1:2" s="7" customFormat="1" x14ac:dyDescent="0.35">
      <c r="A686" s="81" t="s">
        <v>603</v>
      </c>
      <c r="B686" s="69" t="str">
        <f>IF('Industrial Assumptions'!E18="manufacturing, warehouse/distribution, food processing/cold storage, specialty/other","",'Industrial Assumptions'!E18)</f>
        <v/>
      </c>
    </row>
    <row r="687" spans="1:2" s="7" customFormat="1" x14ac:dyDescent="0.35">
      <c r="A687" s="81" t="s">
        <v>604</v>
      </c>
      <c r="B687" s="69" t="str">
        <f>IF('Industrial Assumptions'!G9="# sf","",'Industrial Assumptions'!G9)</f>
        <v/>
      </c>
    </row>
    <row r="688" spans="1:2" s="7" customFormat="1" x14ac:dyDescent="0.35">
      <c r="A688" s="81" t="s">
        <v>605</v>
      </c>
      <c r="B688" s="69" t="str">
        <f>IF('Industrial Assumptions'!G10="# sf","",'Industrial Assumptions'!G10)</f>
        <v/>
      </c>
    </row>
    <row r="689" spans="1:2" s="7" customFormat="1" x14ac:dyDescent="0.35">
      <c r="A689" s="81" t="s">
        <v>606</v>
      </c>
      <c r="B689" s="69" t="str">
        <f>IF('Industrial Assumptions'!G11="# sf","",'Industrial Assumptions'!G11)</f>
        <v/>
      </c>
    </row>
    <row r="690" spans="1:2" s="7" customFormat="1" x14ac:dyDescent="0.35">
      <c r="A690" s="81" t="s">
        <v>607</v>
      </c>
      <c r="B690" s="69" t="str">
        <f>IF('Industrial Assumptions'!G12="# sf","",'Industrial Assumptions'!G12)</f>
        <v/>
      </c>
    </row>
    <row r="691" spans="1:2" s="7" customFormat="1" x14ac:dyDescent="0.35">
      <c r="A691" s="81" t="s">
        <v>608</v>
      </c>
      <c r="B691" s="69" t="str">
        <f>IF('Industrial Assumptions'!G13="# sf","",'Industrial Assumptions'!G13)</f>
        <v/>
      </c>
    </row>
    <row r="692" spans="1:2" s="7" customFormat="1" x14ac:dyDescent="0.35">
      <c r="A692" s="81" t="s">
        <v>609</v>
      </c>
      <c r="B692" s="69" t="str">
        <f>IF('Industrial Assumptions'!G14="# sf","",'Industrial Assumptions'!G14)</f>
        <v/>
      </c>
    </row>
    <row r="693" spans="1:2" s="7" customFormat="1" x14ac:dyDescent="0.35">
      <c r="A693" s="81" t="s">
        <v>610</v>
      </c>
      <c r="B693" s="69" t="str">
        <f>IF('Industrial Assumptions'!G15="# sf","",'Industrial Assumptions'!G15)</f>
        <v/>
      </c>
    </row>
    <row r="694" spans="1:2" s="7" customFormat="1" x14ac:dyDescent="0.35">
      <c r="A694" s="81" t="s">
        <v>611</v>
      </c>
      <c r="B694" s="69" t="str">
        <f>IF('Industrial Assumptions'!G16="# sf","",'Industrial Assumptions'!G16)</f>
        <v/>
      </c>
    </row>
    <row r="695" spans="1:2" s="7" customFormat="1" x14ac:dyDescent="0.35">
      <c r="A695" s="81" t="s">
        <v>612</v>
      </c>
      <c r="B695" s="69" t="str">
        <f>IF('Industrial Assumptions'!G17="# sf","",'Industrial Assumptions'!G17)</f>
        <v/>
      </c>
    </row>
    <row r="696" spans="1:2" s="7" customFormat="1" x14ac:dyDescent="0.35">
      <c r="A696" s="81" t="s">
        <v>613</v>
      </c>
      <c r="B696" s="69" t="str">
        <f>IF('Industrial Assumptions'!G18="# sf","",'Industrial Assumptions'!G18)</f>
        <v/>
      </c>
    </row>
    <row r="697" spans="1:2" s="7" customFormat="1" x14ac:dyDescent="0.35">
      <c r="A697" s="81" t="s">
        <v>614</v>
      </c>
      <c r="B697" s="69" t="str">
        <f>IF('Industrial Assumptions'!I9="mm/dd/yyyy","",'Industrial Assumptions'!I9)</f>
        <v/>
      </c>
    </row>
    <row r="698" spans="1:2" s="7" customFormat="1" x14ac:dyDescent="0.35">
      <c r="A698" s="81" t="s">
        <v>615</v>
      </c>
      <c r="B698" s="69" t="str">
        <f>IF('Industrial Assumptions'!I10="mm/dd/yyyy","",'Industrial Assumptions'!I10)</f>
        <v/>
      </c>
    </row>
    <row r="699" spans="1:2" s="7" customFormat="1" x14ac:dyDescent="0.35">
      <c r="A699" s="81" t="s">
        <v>616</v>
      </c>
      <c r="B699" s="69" t="str">
        <f>IF('Industrial Assumptions'!I11="mm/dd/yyyy","",'Industrial Assumptions'!I11)</f>
        <v/>
      </c>
    </row>
    <row r="700" spans="1:2" s="7" customFormat="1" x14ac:dyDescent="0.35">
      <c r="A700" s="81" t="s">
        <v>617</v>
      </c>
      <c r="B700" s="69" t="str">
        <f>IF('Industrial Assumptions'!I12="mm/dd/yyyy","",'Industrial Assumptions'!I12)</f>
        <v/>
      </c>
    </row>
    <row r="701" spans="1:2" s="7" customFormat="1" x14ac:dyDescent="0.35">
      <c r="A701" s="81" t="s">
        <v>618</v>
      </c>
      <c r="B701" s="69" t="str">
        <f>IF('Industrial Assumptions'!I13="mm/dd/yyyy","",'Industrial Assumptions'!I13)</f>
        <v/>
      </c>
    </row>
    <row r="702" spans="1:2" s="7" customFormat="1" x14ac:dyDescent="0.35">
      <c r="A702" s="81" t="s">
        <v>619</v>
      </c>
      <c r="B702" s="69" t="str">
        <f>IF('Industrial Assumptions'!I14="mm/dd/yyyy","",'Industrial Assumptions'!I14)</f>
        <v/>
      </c>
    </row>
    <row r="703" spans="1:2" s="7" customFormat="1" x14ac:dyDescent="0.35">
      <c r="A703" s="81" t="s">
        <v>620</v>
      </c>
      <c r="B703" s="69" t="str">
        <f>IF('Industrial Assumptions'!I15="mm/dd/yyyy","",'Industrial Assumptions'!I15)</f>
        <v/>
      </c>
    </row>
    <row r="704" spans="1:2" s="7" customFormat="1" x14ac:dyDescent="0.35">
      <c r="A704" s="81" t="s">
        <v>621</v>
      </c>
      <c r="B704" s="69" t="str">
        <f>IF('Industrial Assumptions'!I16="mm/dd/yyyy","",'Industrial Assumptions'!I16)</f>
        <v/>
      </c>
    </row>
    <row r="705" spans="1:2" s="7" customFormat="1" x14ac:dyDescent="0.35">
      <c r="A705" s="81" t="s">
        <v>622</v>
      </c>
      <c r="B705" s="69" t="str">
        <f>IF('Industrial Assumptions'!I17="mm/dd/yyyy","",'Industrial Assumptions'!I17)</f>
        <v/>
      </c>
    </row>
    <row r="706" spans="1:2" s="7" customFormat="1" x14ac:dyDescent="0.35">
      <c r="A706" s="81" t="s">
        <v>623</v>
      </c>
      <c r="B706" s="69" t="str">
        <f>IF('Industrial Assumptions'!I18="mm/dd/yyyy","",'Industrial Assumptions'!I18)</f>
        <v/>
      </c>
    </row>
    <row r="707" spans="1:2" s="7" customFormat="1" x14ac:dyDescent="0.35">
      <c r="A707" s="81" t="s">
        <v>624</v>
      </c>
      <c r="B707" s="69" t="str">
        <f>IF('Industrial Assumptions'!C21="# years","",'Industrial Assumptions'!C21)</f>
        <v/>
      </c>
    </row>
    <row r="708" spans="1:2" s="7" customFormat="1" x14ac:dyDescent="0.35">
      <c r="A708" s="81" t="s">
        <v>625</v>
      </c>
      <c r="B708" s="69" t="str">
        <f>IF('Industrial Assumptions'!C22="# years","",'Industrial Assumptions'!C22)</f>
        <v/>
      </c>
    </row>
    <row r="709" spans="1:2" s="7" customFormat="1" x14ac:dyDescent="0.35">
      <c r="A709" s="81" t="s">
        <v>626</v>
      </c>
      <c r="B709" s="69" t="str">
        <f>IF('Industrial Assumptions'!C23="# years","",'Industrial Assumptions'!C23)</f>
        <v/>
      </c>
    </row>
    <row r="710" spans="1:2" s="7" customFormat="1" x14ac:dyDescent="0.35">
      <c r="A710" s="81" t="s">
        <v>627</v>
      </c>
      <c r="B710" s="69" t="str">
        <f>IF('Industrial Assumptions'!C24="# years","",'Industrial Assumptions'!C24)</f>
        <v/>
      </c>
    </row>
    <row r="711" spans="1:2" s="7" customFormat="1" x14ac:dyDescent="0.35">
      <c r="A711" s="81" t="s">
        <v>628</v>
      </c>
      <c r="B711" s="69" t="str">
        <f>IF('Industrial Assumptions'!C25="# years","",'Industrial Assumptions'!C25)</f>
        <v/>
      </c>
    </row>
    <row r="712" spans="1:2" s="7" customFormat="1" x14ac:dyDescent="0.35">
      <c r="A712" s="81" t="s">
        <v>629</v>
      </c>
      <c r="B712" s="69" t="str">
        <f>IF('Industrial Assumptions'!C26="# years","",'Industrial Assumptions'!C26)</f>
        <v/>
      </c>
    </row>
    <row r="713" spans="1:2" s="7" customFormat="1" x14ac:dyDescent="0.35">
      <c r="A713" s="81" t="s">
        <v>630</v>
      </c>
      <c r="B713" s="69" t="str">
        <f>IF('Industrial Assumptions'!C27="# years","",'Industrial Assumptions'!C27)</f>
        <v/>
      </c>
    </row>
    <row r="714" spans="1:2" s="7" customFormat="1" x14ac:dyDescent="0.35">
      <c r="A714" s="81" t="s">
        <v>631</v>
      </c>
      <c r="B714" s="69" t="str">
        <f>IF('Industrial Assumptions'!C28="# years","",'Industrial Assumptions'!C28)</f>
        <v/>
      </c>
    </row>
    <row r="715" spans="1:2" s="7" customFormat="1" x14ac:dyDescent="0.35">
      <c r="A715" s="81" t="s">
        <v>632</v>
      </c>
      <c r="B715" s="69" t="str">
        <f>IF('Industrial Assumptions'!C29="# years","",'Industrial Assumptions'!C29)</f>
        <v/>
      </c>
    </row>
    <row r="716" spans="1:2" s="7" customFormat="1" x14ac:dyDescent="0.35">
      <c r="A716" s="81" t="s">
        <v>633</v>
      </c>
      <c r="B716" s="69" t="str">
        <f>IF('Industrial Assumptions'!C30="# years","",'Industrial Assumptions'!C30)</f>
        <v/>
      </c>
    </row>
    <row r="717" spans="1:2" s="7" customFormat="1" x14ac:dyDescent="0.35">
      <c r="A717" s="81" t="s">
        <v>634</v>
      </c>
      <c r="B717" s="69" t="str">
        <f>IF('Industrial Assumptions'!E21="$ per sf per year","",'Industrial Assumptions'!E21)</f>
        <v/>
      </c>
    </row>
    <row r="718" spans="1:2" s="7" customFormat="1" x14ac:dyDescent="0.35">
      <c r="A718" s="81" t="s">
        <v>635</v>
      </c>
      <c r="B718" s="69" t="str">
        <f>IF('Industrial Assumptions'!E22="$ per sf per year","",'Industrial Assumptions'!E22)</f>
        <v/>
      </c>
    </row>
    <row r="719" spans="1:2" s="7" customFormat="1" x14ac:dyDescent="0.35">
      <c r="A719" s="81" t="s">
        <v>636</v>
      </c>
      <c r="B719" s="69" t="str">
        <f>IF('Industrial Assumptions'!E23="$ per sf per year","",'Industrial Assumptions'!E23)</f>
        <v/>
      </c>
    </row>
    <row r="720" spans="1:2" s="7" customFormat="1" x14ac:dyDescent="0.35">
      <c r="A720" s="81" t="s">
        <v>637</v>
      </c>
      <c r="B720" s="69" t="str">
        <f>IF('Industrial Assumptions'!E24="$ per sf per year","",'Industrial Assumptions'!E24)</f>
        <v/>
      </c>
    </row>
    <row r="721" spans="1:2" s="7" customFormat="1" x14ac:dyDescent="0.35">
      <c r="A721" s="81" t="s">
        <v>638</v>
      </c>
      <c r="B721" s="69" t="str">
        <f>IF('Industrial Assumptions'!E25="$ per sf per year","",'Industrial Assumptions'!E25)</f>
        <v/>
      </c>
    </row>
    <row r="722" spans="1:2" s="7" customFormat="1" x14ac:dyDescent="0.35">
      <c r="A722" s="81" t="s">
        <v>639</v>
      </c>
      <c r="B722" s="69" t="str">
        <f>IF('Industrial Assumptions'!E26="$ per sf per year","",'Industrial Assumptions'!E26)</f>
        <v/>
      </c>
    </row>
    <row r="723" spans="1:2" s="7" customFormat="1" x14ac:dyDescent="0.35">
      <c r="A723" s="81" t="s">
        <v>640</v>
      </c>
      <c r="B723" s="69" t="str">
        <f>IF('Industrial Assumptions'!E27="$ per sf per year","",'Industrial Assumptions'!E27)</f>
        <v/>
      </c>
    </row>
    <row r="724" spans="1:2" s="7" customFormat="1" x14ac:dyDescent="0.35">
      <c r="A724" s="81" t="s">
        <v>641</v>
      </c>
      <c r="B724" s="69" t="str">
        <f>IF('Industrial Assumptions'!E28="$ per sf per year","",'Industrial Assumptions'!E28)</f>
        <v/>
      </c>
    </row>
    <row r="725" spans="1:2" s="7" customFormat="1" x14ac:dyDescent="0.35">
      <c r="A725" s="81" t="s">
        <v>642</v>
      </c>
      <c r="B725" s="69" t="str">
        <f>IF('Industrial Assumptions'!E29="$ per sf per year","",'Industrial Assumptions'!E29)</f>
        <v/>
      </c>
    </row>
    <row r="726" spans="1:2" s="7" customFormat="1" x14ac:dyDescent="0.35">
      <c r="A726" s="81" t="s">
        <v>643</v>
      </c>
      <c r="B726" s="69" t="str">
        <f>IF('Industrial Assumptions'!E30="$ per sf per year","",'Industrial Assumptions'!E30)</f>
        <v/>
      </c>
    </row>
    <row r="727" spans="1:2" s="7" customFormat="1" x14ac:dyDescent="0.35">
      <c r="A727" s="81" t="s">
        <v>644</v>
      </c>
      <c r="B727" s="69" t="str">
        <f>IF('Industrial Assumptions'!G21="%","",'Industrial Assumptions'!G21)</f>
        <v/>
      </c>
    </row>
    <row r="728" spans="1:2" s="7" customFormat="1" x14ac:dyDescent="0.35">
      <c r="A728" s="81" t="s">
        <v>645</v>
      </c>
      <c r="B728" s="69" t="str">
        <f>IF('Industrial Assumptions'!G22="%","",'Industrial Assumptions'!G22)</f>
        <v/>
      </c>
    </row>
    <row r="729" spans="1:2" s="7" customFormat="1" x14ac:dyDescent="0.35">
      <c r="A729" s="81" t="s">
        <v>646</v>
      </c>
      <c r="B729" s="69" t="str">
        <f>IF('Industrial Assumptions'!G23="%","",'Industrial Assumptions'!G23)</f>
        <v/>
      </c>
    </row>
    <row r="730" spans="1:2" s="7" customFormat="1" x14ac:dyDescent="0.35">
      <c r="A730" s="81" t="s">
        <v>647</v>
      </c>
      <c r="B730" s="69" t="str">
        <f>IF('Industrial Assumptions'!G24="%","",'Industrial Assumptions'!G24)</f>
        <v/>
      </c>
    </row>
    <row r="731" spans="1:2" s="7" customFormat="1" x14ac:dyDescent="0.35">
      <c r="A731" s="81" t="s">
        <v>648</v>
      </c>
      <c r="B731" s="69" t="str">
        <f>IF('Industrial Assumptions'!G25="%","",'Industrial Assumptions'!G25)</f>
        <v/>
      </c>
    </row>
    <row r="732" spans="1:2" s="7" customFormat="1" x14ac:dyDescent="0.35">
      <c r="A732" s="81" t="s">
        <v>649</v>
      </c>
      <c r="B732" s="69" t="str">
        <f>IF('Industrial Assumptions'!G26="%","",'Industrial Assumptions'!G26)</f>
        <v/>
      </c>
    </row>
    <row r="733" spans="1:2" s="7" customFormat="1" x14ac:dyDescent="0.35">
      <c r="A733" s="81" t="s">
        <v>650</v>
      </c>
      <c r="B733" s="69" t="str">
        <f>IF('Industrial Assumptions'!G27="%","",'Industrial Assumptions'!G27)</f>
        <v/>
      </c>
    </row>
    <row r="734" spans="1:2" s="7" customFormat="1" x14ac:dyDescent="0.35">
      <c r="A734" s="81" t="s">
        <v>651</v>
      </c>
      <c r="B734" s="69" t="str">
        <f>IF('Industrial Assumptions'!G28="%","",'Industrial Assumptions'!G28)</f>
        <v/>
      </c>
    </row>
    <row r="735" spans="1:2" s="7" customFormat="1" x14ac:dyDescent="0.35">
      <c r="A735" s="81" t="s">
        <v>652</v>
      </c>
      <c r="B735" s="69" t="str">
        <f>IF('Industrial Assumptions'!G29="%","",'Industrial Assumptions'!G29)</f>
        <v/>
      </c>
    </row>
    <row r="736" spans="1:2" s="7" customFormat="1" x14ac:dyDescent="0.35">
      <c r="A736" s="81" t="s">
        <v>653</v>
      </c>
      <c r="B736" s="69" t="str">
        <f>IF('Industrial Assumptions'!G30="%","",'Industrial Assumptions'!G30)</f>
        <v/>
      </c>
    </row>
    <row r="737" spans="1:2" s="7" customFormat="1" x14ac:dyDescent="0.35">
      <c r="A737" s="81" t="s">
        <v>654</v>
      </c>
      <c r="B737" s="69" t="str">
        <f>IF('Industrial Assumptions'!I21="every # months","",'Industrial Assumptions'!I21)</f>
        <v/>
      </c>
    </row>
    <row r="738" spans="1:2" s="7" customFormat="1" x14ac:dyDescent="0.35">
      <c r="A738" s="81" t="s">
        <v>655</v>
      </c>
      <c r="B738" s="69" t="str">
        <f>IF('Industrial Assumptions'!I22="every # months","",'Industrial Assumptions'!I22)</f>
        <v/>
      </c>
    </row>
    <row r="739" spans="1:2" s="7" customFormat="1" x14ac:dyDescent="0.35">
      <c r="A739" s="81" t="s">
        <v>656</v>
      </c>
      <c r="B739" s="69" t="str">
        <f>IF('Industrial Assumptions'!I23="every # months","",'Industrial Assumptions'!I23)</f>
        <v/>
      </c>
    </row>
    <row r="740" spans="1:2" s="7" customFormat="1" x14ac:dyDescent="0.35">
      <c r="A740" s="81" t="s">
        <v>657</v>
      </c>
      <c r="B740" s="69" t="str">
        <f>IF('Industrial Assumptions'!I24="every # months","",'Industrial Assumptions'!I24)</f>
        <v/>
      </c>
    </row>
    <row r="741" spans="1:2" s="7" customFormat="1" x14ac:dyDescent="0.35">
      <c r="A741" s="81" t="s">
        <v>658</v>
      </c>
      <c r="B741" s="69" t="str">
        <f>IF('Industrial Assumptions'!I25="every # months","",'Industrial Assumptions'!I25)</f>
        <v/>
      </c>
    </row>
    <row r="742" spans="1:2" s="7" customFormat="1" x14ac:dyDescent="0.35">
      <c r="A742" s="81" t="s">
        <v>659</v>
      </c>
      <c r="B742" s="69" t="str">
        <f>IF('Industrial Assumptions'!I26="every # months","",'Industrial Assumptions'!I26)</f>
        <v/>
      </c>
    </row>
    <row r="743" spans="1:2" s="7" customFormat="1" x14ac:dyDescent="0.35">
      <c r="A743" s="81" t="s">
        <v>660</v>
      </c>
      <c r="B743" s="69" t="str">
        <f>IF('Industrial Assumptions'!I27="every # months","",'Industrial Assumptions'!I27)</f>
        <v/>
      </c>
    </row>
    <row r="744" spans="1:2" s="7" customFormat="1" x14ac:dyDescent="0.35">
      <c r="A744" s="81" t="s">
        <v>661</v>
      </c>
      <c r="B744" s="69" t="str">
        <f>IF('Industrial Assumptions'!I28="every # months","",'Industrial Assumptions'!I28)</f>
        <v/>
      </c>
    </row>
    <row r="745" spans="1:2" s="7" customFormat="1" x14ac:dyDescent="0.35">
      <c r="A745" s="81" t="s">
        <v>662</v>
      </c>
      <c r="B745" s="69" t="str">
        <f>IF('Industrial Assumptions'!I29="every # months","",'Industrial Assumptions'!I29)</f>
        <v/>
      </c>
    </row>
    <row r="746" spans="1:2" s="7" customFormat="1" x14ac:dyDescent="0.35">
      <c r="A746" s="81" t="s">
        <v>663</v>
      </c>
      <c r="B746" s="69" t="str">
        <f>IF('Industrial Assumptions'!I30="every # months","",'Industrial Assumptions'!I30)</f>
        <v/>
      </c>
    </row>
    <row r="747" spans="1:2" s="7" customFormat="1" x14ac:dyDescent="0.35">
      <c r="A747" s="81" t="s">
        <v>664</v>
      </c>
      <c r="B747" s="69" t="str">
        <f>IF('Industrial Assumptions'!C33="% of lease value","",'Industrial Assumptions'!C33)</f>
        <v/>
      </c>
    </row>
    <row r="748" spans="1:2" s="7" customFormat="1" x14ac:dyDescent="0.35">
      <c r="A748" s="81" t="s">
        <v>665</v>
      </c>
      <c r="B748" s="69" t="str">
        <f>IF('Industrial Assumptions'!C34="% of lease value","",'Industrial Assumptions'!C34)</f>
        <v/>
      </c>
    </row>
    <row r="749" spans="1:2" s="7" customFormat="1" x14ac:dyDescent="0.35">
      <c r="A749" s="81" t="s">
        <v>666</v>
      </c>
      <c r="B749" s="69" t="str">
        <f>IF('Industrial Assumptions'!C35="% of lease value","",'Industrial Assumptions'!C35)</f>
        <v/>
      </c>
    </row>
    <row r="750" spans="1:2" s="7" customFormat="1" x14ac:dyDescent="0.35">
      <c r="A750" s="81" t="s">
        <v>667</v>
      </c>
      <c r="B750" s="69" t="str">
        <f>IF('Industrial Assumptions'!C36="% of lease value","",'Industrial Assumptions'!C36)</f>
        <v/>
      </c>
    </row>
    <row r="751" spans="1:2" s="7" customFormat="1" x14ac:dyDescent="0.35">
      <c r="A751" s="81" t="s">
        <v>668</v>
      </c>
      <c r="B751" s="69" t="str">
        <f>IF('Industrial Assumptions'!C37="% of lease value","",'Industrial Assumptions'!C37)</f>
        <v/>
      </c>
    </row>
    <row r="752" spans="1:2" s="7" customFormat="1" x14ac:dyDescent="0.35">
      <c r="A752" s="81" t="s">
        <v>669</v>
      </c>
      <c r="B752" s="69" t="str">
        <f>IF('Industrial Assumptions'!C38="% of lease value","",'Industrial Assumptions'!C38)</f>
        <v/>
      </c>
    </row>
    <row r="753" spans="1:2" s="7" customFormat="1" x14ac:dyDescent="0.35">
      <c r="A753" s="81" t="s">
        <v>670</v>
      </c>
      <c r="B753" s="69" t="str">
        <f>IF('Industrial Assumptions'!C39="% of lease value","",'Industrial Assumptions'!C39)</f>
        <v/>
      </c>
    </row>
    <row r="754" spans="1:2" s="7" customFormat="1" x14ac:dyDescent="0.35">
      <c r="A754" s="81" t="s">
        <v>671</v>
      </c>
      <c r="B754" s="69" t="str">
        <f>IF('Industrial Assumptions'!C40="% of lease value","",'Industrial Assumptions'!C40)</f>
        <v/>
      </c>
    </row>
    <row r="755" spans="1:2" s="7" customFormat="1" x14ac:dyDescent="0.35">
      <c r="A755" s="81" t="s">
        <v>672</v>
      </c>
      <c r="B755" s="69" t="str">
        <f>IF('Industrial Assumptions'!C41="% of lease value","",'Industrial Assumptions'!C41)</f>
        <v/>
      </c>
    </row>
    <row r="756" spans="1:2" s="7" customFormat="1" x14ac:dyDescent="0.35">
      <c r="A756" s="81" t="s">
        <v>673</v>
      </c>
      <c r="B756" s="69" t="str">
        <f>IF('Industrial Assumptions'!C42="% of lease value","",'Industrial Assumptions'!C42)</f>
        <v/>
      </c>
    </row>
    <row r="757" spans="1:2" s="7" customFormat="1" x14ac:dyDescent="0.35">
      <c r="A757" s="81" t="s">
        <v>674</v>
      </c>
      <c r="B757" s="69" t="str">
        <f>IF('Industrial Assumptions'!E33="$ per rentable sf","",'Industrial Assumptions'!E33)</f>
        <v/>
      </c>
    </row>
    <row r="758" spans="1:2" s="7" customFormat="1" x14ac:dyDescent="0.35">
      <c r="A758" s="81" t="s">
        <v>675</v>
      </c>
      <c r="B758" s="69" t="str">
        <f>IF('Industrial Assumptions'!E34="$ per rentable sf","",'Industrial Assumptions'!E34)</f>
        <v/>
      </c>
    </row>
    <row r="759" spans="1:2" s="7" customFormat="1" x14ac:dyDescent="0.35">
      <c r="A759" s="81" t="s">
        <v>676</v>
      </c>
      <c r="B759" s="69" t="str">
        <f>IF('Industrial Assumptions'!E35="$ per rentable sf","",'Industrial Assumptions'!E35)</f>
        <v/>
      </c>
    </row>
    <row r="760" spans="1:2" s="7" customFormat="1" x14ac:dyDescent="0.35">
      <c r="A760" s="81" t="s">
        <v>677</v>
      </c>
      <c r="B760" s="69" t="str">
        <f>IF('Industrial Assumptions'!E36="$ per rentable sf","",'Industrial Assumptions'!E36)</f>
        <v/>
      </c>
    </row>
    <row r="761" spans="1:2" s="7" customFormat="1" x14ac:dyDescent="0.35">
      <c r="A761" s="81" t="s">
        <v>678</v>
      </c>
      <c r="B761" s="69" t="str">
        <f>IF('Industrial Assumptions'!E37="$ per rentable sf","",'Industrial Assumptions'!E37)</f>
        <v/>
      </c>
    </row>
    <row r="762" spans="1:2" s="7" customFormat="1" x14ac:dyDescent="0.35">
      <c r="A762" s="81" t="s">
        <v>679</v>
      </c>
      <c r="B762" s="69" t="str">
        <f>IF('Industrial Assumptions'!E38="$ per rentable sf","",'Industrial Assumptions'!E38)</f>
        <v/>
      </c>
    </row>
    <row r="763" spans="1:2" s="7" customFormat="1" x14ac:dyDescent="0.35">
      <c r="A763" s="81" t="s">
        <v>680</v>
      </c>
      <c r="B763" s="69" t="str">
        <f>IF('Industrial Assumptions'!E39="$ per rentable sf","",'Industrial Assumptions'!E39)</f>
        <v/>
      </c>
    </row>
    <row r="764" spans="1:2" s="7" customFormat="1" x14ac:dyDescent="0.35">
      <c r="A764" s="81" t="s">
        <v>681</v>
      </c>
      <c r="B764" s="69" t="str">
        <f>IF('Industrial Assumptions'!E40="$ per rentable sf","",'Industrial Assumptions'!E40)</f>
        <v/>
      </c>
    </row>
    <row r="765" spans="1:2" s="7" customFormat="1" x14ac:dyDescent="0.35">
      <c r="A765" s="81" t="s">
        <v>682</v>
      </c>
      <c r="B765" s="69" t="str">
        <f>IF('Industrial Assumptions'!E41="$ per rentable sf","",'Industrial Assumptions'!E41)</f>
        <v/>
      </c>
    </row>
    <row r="766" spans="1:2" s="7" customFormat="1" x14ac:dyDescent="0.35">
      <c r="A766" s="81" t="s">
        <v>683</v>
      </c>
      <c r="B766" s="69" t="str">
        <f>IF('Industrial Assumptions'!E42="$ per rentable sf","",'Industrial Assumptions'!E42)</f>
        <v/>
      </c>
    </row>
    <row r="767" spans="1:2" s="7" customFormat="1" x14ac:dyDescent="0.35">
      <c r="A767" s="81" t="s">
        <v>684</v>
      </c>
      <c r="B767" s="69" t="str">
        <f>IF('Industrial Assumptions'!G33="# months","",'Industrial Assumptions'!G33)</f>
        <v/>
      </c>
    </row>
    <row r="768" spans="1:2" s="7" customFormat="1" x14ac:dyDescent="0.35">
      <c r="A768" s="81" t="s">
        <v>685</v>
      </c>
      <c r="B768" s="69" t="str">
        <f>IF('Industrial Assumptions'!G34="# months","",'Industrial Assumptions'!G34)</f>
        <v/>
      </c>
    </row>
    <row r="769" spans="1:2" s="7" customFormat="1" x14ac:dyDescent="0.35">
      <c r="A769" s="81" t="s">
        <v>686</v>
      </c>
      <c r="B769" s="69" t="str">
        <f>IF('Industrial Assumptions'!G35="# months","",'Industrial Assumptions'!G35)</f>
        <v/>
      </c>
    </row>
    <row r="770" spans="1:2" s="7" customFormat="1" x14ac:dyDescent="0.35">
      <c r="A770" s="81" t="s">
        <v>687</v>
      </c>
      <c r="B770" s="69" t="str">
        <f>IF('Industrial Assumptions'!G36="# months","",'Industrial Assumptions'!G36)</f>
        <v/>
      </c>
    </row>
    <row r="771" spans="1:2" s="7" customFormat="1" x14ac:dyDescent="0.35">
      <c r="A771" s="81" t="s">
        <v>688</v>
      </c>
      <c r="B771" s="69" t="str">
        <f>IF('Industrial Assumptions'!G37="# months","",'Industrial Assumptions'!G37)</f>
        <v/>
      </c>
    </row>
    <row r="772" spans="1:2" s="7" customFormat="1" x14ac:dyDescent="0.35">
      <c r="A772" s="81" t="s">
        <v>689</v>
      </c>
      <c r="B772" s="69" t="str">
        <f>IF('Industrial Assumptions'!G38="# months","",'Industrial Assumptions'!G38)</f>
        <v/>
      </c>
    </row>
    <row r="773" spans="1:2" s="7" customFormat="1" x14ac:dyDescent="0.35">
      <c r="A773" s="81" t="s">
        <v>690</v>
      </c>
      <c r="B773" s="69" t="str">
        <f>IF('Industrial Assumptions'!G39="# months","",'Industrial Assumptions'!G39)</f>
        <v/>
      </c>
    </row>
    <row r="774" spans="1:2" s="7" customFormat="1" x14ac:dyDescent="0.35">
      <c r="A774" s="81" t="s">
        <v>691</v>
      </c>
      <c r="B774" s="69" t="str">
        <f>IF('Industrial Assumptions'!G40="# months","",'Industrial Assumptions'!G40)</f>
        <v/>
      </c>
    </row>
    <row r="775" spans="1:2" s="7" customFormat="1" x14ac:dyDescent="0.35">
      <c r="A775" s="81" t="s">
        <v>692</v>
      </c>
      <c r="B775" s="69" t="str">
        <f>IF('Industrial Assumptions'!G41="# months","",'Industrial Assumptions'!G41)</f>
        <v/>
      </c>
    </row>
    <row r="776" spans="1:2" s="7" customFormat="1" x14ac:dyDescent="0.35">
      <c r="A776" s="81" t="s">
        <v>693</v>
      </c>
      <c r="B776" s="69" t="str">
        <f>IF('Industrial Assumptions'!G42="# months","",'Industrial Assumptions'!G42)</f>
        <v/>
      </c>
    </row>
    <row r="777" spans="1:2" s="7" customFormat="1" x14ac:dyDescent="0.35">
      <c r="A777" s="81" t="s">
        <v>349</v>
      </c>
      <c r="B777" s="69">
        <f>IF('Industrial Assumptions'!E48="# tenants",0,'Industrial Assumptions'!E48)</f>
        <v>0</v>
      </c>
    </row>
    <row r="778" spans="1:2" s="7" customFormat="1" x14ac:dyDescent="0.35">
      <c r="A778" s="81" t="s">
        <v>350</v>
      </c>
      <c r="B778" s="69">
        <f>IF('Industrial Assumptions'!E49="# sf per tenant",0,'Industrial Assumptions'!E49)</f>
        <v>0</v>
      </c>
    </row>
    <row r="779" spans="1:2" s="7" customFormat="1" x14ac:dyDescent="0.35">
      <c r="A779" s="81" t="s">
        <v>351</v>
      </c>
      <c r="B779" s="69">
        <f>IF('Industrial Assumptions'!E51="# years",0,'Industrial Assumptions'!E51)</f>
        <v>0</v>
      </c>
    </row>
    <row r="780" spans="1:2" s="7" customFormat="1" x14ac:dyDescent="0.35">
      <c r="A780" s="81" t="s">
        <v>352</v>
      </c>
      <c r="B780" s="69">
        <f>IF('Industrial Assumptions'!E52="$ per sf per year",0,'Industrial Assumptions'!E52)</f>
        <v>0</v>
      </c>
    </row>
    <row r="781" spans="1:2" s="7" customFormat="1" x14ac:dyDescent="0.35">
      <c r="A781" s="81" t="s">
        <v>353</v>
      </c>
      <c r="B781" s="69">
        <f>IF('Industrial Assumptions'!E53="% per year",0,'Industrial Assumptions'!E53)</f>
        <v>0</v>
      </c>
    </row>
    <row r="782" spans="1:2" s="7" customFormat="1" x14ac:dyDescent="0.35">
      <c r="A782" s="81" t="s">
        <v>354</v>
      </c>
      <c r="B782" s="69">
        <f>IF('Industrial Assumptions'!E54="# months",0,'Industrial Assumptions'!E54)</f>
        <v>0</v>
      </c>
    </row>
    <row r="783" spans="1:2" s="7" customFormat="1" x14ac:dyDescent="0.35">
      <c r="A783" s="81" t="s">
        <v>355</v>
      </c>
      <c r="B783" s="69">
        <f>IF('Industrial Assumptions'!E55="$ per rentable sf",0,'Industrial Assumptions'!E55)</f>
        <v>0</v>
      </c>
    </row>
    <row r="784" spans="1:2" s="7" customFormat="1" x14ac:dyDescent="0.35">
      <c r="A784" s="81" t="s">
        <v>356</v>
      </c>
      <c r="B784" s="69">
        <f>IF('Industrial Assumptions'!E56="% of lease value",0,'Industrial Assumptions'!E56)</f>
        <v>0</v>
      </c>
    </row>
    <row r="785" spans="1:2" s="7" customFormat="1" x14ac:dyDescent="0.35">
      <c r="A785" s="81" t="s">
        <v>357</v>
      </c>
      <c r="B785" s="69">
        <f>IF('Industrial Assumptions'!E58="% of gross potential revenue",0,'Industrial Assumptions'!E58)</f>
        <v>0</v>
      </c>
    </row>
    <row r="786" spans="1:2" s="7" customFormat="1" x14ac:dyDescent="0.35">
      <c r="A786" s="81" t="s">
        <v>358</v>
      </c>
      <c r="B786" s="69">
        <f>IF('Industrial Assumptions'!E59="% of gross potential revenue",0,'Industrial Assumptions'!E59)</f>
        <v>0</v>
      </c>
    </row>
    <row r="787" spans="1:2" s="7" customFormat="1" x14ac:dyDescent="0.35">
      <c r="A787" s="81" t="s">
        <v>359</v>
      </c>
      <c r="B787" s="69">
        <f>IF('Industrial Assumptions'!E61="% of tenants",0,'Industrial Assumptions'!E61)</f>
        <v>0</v>
      </c>
    </row>
    <row r="788" spans="1:2" s="7" customFormat="1" x14ac:dyDescent="0.35">
      <c r="A788" s="81" t="s">
        <v>360</v>
      </c>
      <c r="B788" s="69">
        <f>IF('Industrial Assumptions'!E62="# tenants",0,'Industrial Assumptions'!E62)</f>
        <v>0</v>
      </c>
    </row>
    <row r="789" spans="1:2" s="7" customFormat="1" x14ac:dyDescent="0.35">
      <c r="A789" s="81" t="s">
        <v>361</v>
      </c>
      <c r="B789" s="69">
        <f>IF('Industrial Assumptions'!E63="every # months",0,'Industrial Assumptions'!E63)</f>
        <v>0</v>
      </c>
    </row>
    <row r="790" spans="1:2" s="7" customFormat="1" x14ac:dyDescent="0.35">
      <c r="A790" s="81" t="s">
        <v>362</v>
      </c>
      <c r="B790" s="69">
        <f>IF('Industrial Assumptions'!G48="# tenants",0,'Industrial Assumptions'!G48)</f>
        <v>0</v>
      </c>
    </row>
    <row r="791" spans="1:2" s="7" customFormat="1" x14ac:dyDescent="0.35">
      <c r="A791" s="81" t="s">
        <v>363</v>
      </c>
      <c r="B791" s="69">
        <f>IF('Industrial Assumptions'!G49="# sf per tenant",0,'Industrial Assumptions'!G49)</f>
        <v>0</v>
      </c>
    </row>
    <row r="792" spans="1:2" s="7" customFormat="1" x14ac:dyDescent="0.35">
      <c r="A792" s="81" t="s">
        <v>364</v>
      </c>
      <c r="B792" s="69">
        <f>IF('Industrial Assumptions'!G51="# years",0,'Industrial Assumptions'!G51)</f>
        <v>0</v>
      </c>
    </row>
    <row r="793" spans="1:2" s="7" customFormat="1" x14ac:dyDescent="0.35">
      <c r="A793" s="81" t="s">
        <v>365</v>
      </c>
      <c r="B793" s="69">
        <f>IF('Industrial Assumptions'!G52="$ per sf per year",0,'Industrial Assumptions'!G52)</f>
        <v>0</v>
      </c>
    </row>
    <row r="794" spans="1:2" s="7" customFormat="1" x14ac:dyDescent="0.35">
      <c r="A794" s="81" t="s">
        <v>366</v>
      </c>
      <c r="B794" s="69">
        <f>IF('Industrial Assumptions'!G53="% per year",0,'Industrial Assumptions'!G53)</f>
        <v>0</v>
      </c>
    </row>
    <row r="795" spans="1:2" s="7" customFormat="1" x14ac:dyDescent="0.35">
      <c r="A795" s="81" t="s">
        <v>367</v>
      </c>
      <c r="B795" s="69">
        <f>IF('Industrial Assumptions'!G54="# months",0,'Industrial Assumptions'!G54)</f>
        <v>0</v>
      </c>
    </row>
    <row r="796" spans="1:2" s="7" customFormat="1" x14ac:dyDescent="0.35">
      <c r="A796" s="81" t="s">
        <v>368</v>
      </c>
      <c r="B796" s="69">
        <f>IF('Industrial Assumptions'!G55="$ per rentable sf",0,'Industrial Assumptions'!G55)</f>
        <v>0</v>
      </c>
    </row>
    <row r="797" spans="1:2" s="7" customFormat="1" x14ac:dyDescent="0.35">
      <c r="A797" s="81" t="s">
        <v>369</v>
      </c>
      <c r="B797" s="69">
        <f>IF('Industrial Assumptions'!G56="% of lease value",0,'Industrial Assumptions'!G56)</f>
        <v>0</v>
      </c>
    </row>
    <row r="798" spans="1:2" s="7" customFormat="1" x14ac:dyDescent="0.35">
      <c r="A798" s="81" t="s">
        <v>370</v>
      </c>
      <c r="B798" s="69">
        <f>IF('Industrial Assumptions'!G58="% of gross potential revenue",0,'Industrial Assumptions'!G58)</f>
        <v>0</v>
      </c>
    </row>
    <row r="799" spans="1:2" s="7" customFormat="1" x14ac:dyDescent="0.35">
      <c r="A799" s="81" t="s">
        <v>371</v>
      </c>
      <c r="B799" s="69">
        <f>IF('Industrial Assumptions'!G59="% of gross potential revenue",0,'Industrial Assumptions'!G59)</f>
        <v>0</v>
      </c>
    </row>
    <row r="800" spans="1:2" s="7" customFormat="1" x14ac:dyDescent="0.35">
      <c r="A800" s="81" t="s">
        <v>372</v>
      </c>
      <c r="B800" s="69">
        <f>IF('Industrial Assumptions'!G61="% of tenants",0,'Industrial Assumptions'!G61)</f>
        <v>0</v>
      </c>
    </row>
    <row r="801" spans="1:2" s="7" customFormat="1" x14ac:dyDescent="0.35">
      <c r="A801" s="81" t="s">
        <v>373</v>
      </c>
      <c r="B801" s="69">
        <f>IF('Industrial Assumptions'!G62="# tenants",0,'Industrial Assumptions'!G62)</f>
        <v>0</v>
      </c>
    </row>
    <row r="802" spans="1:2" s="7" customFormat="1" x14ac:dyDescent="0.35">
      <c r="A802" s="81" t="s">
        <v>374</v>
      </c>
      <c r="B802" s="69">
        <f>IF('Industrial Assumptions'!G63="every # months",0,'Industrial Assumptions'!G63)</f>
        <v>0</v>
      </c>
    </row>
    <row r="803" spans="1:2" s="7" customFormat="1" x14ac:dyDescent="0.35">
      <c r="A803" s="81" t="s">
        <v>375</v>
      </c>
      <c r="B803" s="69">
        <f>IF('Industrial Assumptions'!I48="# tenants",0,'Industrial Assumptions'!I48)</f>
        <v>0</v>
      </c>
    </row>
    <row r="804" spans="1:2" s="7" customFormat="1" x14ac:dyDescent="0.35">
      <c r="A804" s="81" t="s">
        <v>376</v>
      </c>
      <c r="B804" s="69">
        <f>IF('Industrial Assumptions'!I49="# sf per tenant",0,'Industrial Assumptions'!I49)</f>
        <v>0</v>
      </c>
    </row>
    <row r="805" spans="1:2" s="7" customFormat="1" x14ac:dyDescent="0.35">
      <c r="A805" s="81" t="s">
        <v>377</v>
      </c>
      <c r="B805" s="69">
        <f>IF('Industrial Assumptions'!I51="# years",0,'Industrial Assumptions'!I51)</f>
        <v>0</v>
      </c>
    </row>
    <row r="806" spans="1:2" s="7" customFormat="1" x14ac:dyDescent="0.35">
      <c r="A806" s="81" t="s">
        <v>378</v>
      </c>
      <c r="B806" s="69">
        <f>IF('Industrial Assumptions'!I52="$ per sf per year",0,'Industrial Assumptions'!I52)</f>
        <v>0</v>
      </c>
    </row>
    <row r="807" spans="1:2" s="7" customFormat="1" x14ac:dyDescent="0.35">
      <c r="A807" s="81" t="s">
        <v>379</v>
      </c>
      <c r="B807" s="69">
        <f>IF('Industrial Assumptions'!I53="% per year",0,'Industrial Assumptions'!I53)</f>
        <v>0</v>
      </c>
    </row>
    <row r="808" spans="1:2" s="7" customFormat="1" x14ac:dyDescent="0.35">
      <c r="A808" s="81" t="s">
        <v>380</v>
      </c>
      <c r="B808" s="69">
        <f>IF('Industrial Assumptions'!I54="# months",0,'Industrial Assumptions'!I54)</f>
        <v>0</v>
      </c>
    </row>
    <row r="809" spans="1:2" s="7" customFormat="1" x14ac:dyDescent="0.35">
      <c r="A809" s="81" t="s">
        <v>381</v>
      </c>
      <c r="B809" s="69">
        <f>IF('Industrial Assumptions'!I55="$ per rentable sf",0,'Industrial Assumptions'!I55)</f>
        <v>0</v>
      </c>
    </row>
    <row r="810" spans="1:2" s="7" customFormat="1" x14ac:dyDescent="0.35">
      <c r="A810" s="81" t="s">
        <v>382</v>
      </c>
      <c r="B810" s="69">
        <f>IF('Industrial Assumptions'!I56="% of lease value",0,'Industrial Assumptions'!I56)</f>
        <v>0</v>
      </c>
    </row>
    <row r="811" spans="1:2" s="7" customFormat="1" x14ac:dyDescent="0.35">
      <c r="A811" s="81" t="s">
        <v>383</v>
      </c>
      <c r="B811" s="69">
        <f>IF('Industrial Assumptions'!I58="% of gross potential revenue",0,'Industrial Assumptions'!I58)</f>
        <v>0</v>
      </c>
    </row>
    <row r="812" spans="1:2" s="7" customFormat="1" x14ac:dyDescent="0.35">
      <c r="A812" s="81" t="s">
        <v>384</v>
      </c>
      <c r="B812" s="69">
        <f>IF('Industrial Assumptions'!I59="% of gross potential revenue",0,'Industrial Assumptions'!I59)</f>
        <v>0</v>
      </c>
    </row>
    <row r="813" spans="1:2" s="7" customFormat="1" x14ac:dyDescent="0.35">
      <c r="A813" s="81" t="s">
        <v>385</v>
      </c>
      <c r="B813" s="69">
        <f>IF('Industrial Assumptions'!I61="% of tenants",0,'Industrial Assumptions'!I61)</f>
        <v>0</v>
      </c>
    </row>
    <row r="814" spans="1:2" s="7" customFormat="1" x14ac:dyDescent="0.35">
      <c r="A814" s="81" t="s">
        <v>386</v>
      </c>
      <c r="B814" s="69">
        <f>IF('Industrial Assumptions'!I62="# tenants",0,'Industrial Assumptions'!I62)</f>
        <v>0</v>
      </c>
    </row>
    <row r="815" spans="1:2" s="7" customFormat="1" x14ac:dyDescent="0.35">
      <c r="A815" s="81" t="s">
        <v>387</v>
      </c>
      <c r="B815" s="69">
        <f>IF('Industrial Assumptions'!I63="every # months",0,'Industrial Assumptions'!I63)</f>
        <v>0</v>
      </c>
    </row>
    <row r="816" spans="1:2" s="7" customFormat="1" x14ac:dyDescent="0.35">
      <c r="A816" s="81" t="s">
        <v>388</v>
      </c>
      <c r="B816" s="69">
        <f>IF('Industrial Assumptions'!K48="# tenants",0,'Industrial Assumptions'!K48)</f>
        <v>0</v>
      </c>
    </row>
    <row r="817" spans="1:2" s="7" customFormat="1" x14ac:dyDescent="0.35">
      <c r="A817" s="81" t="s">
        <v>389</v>
      </c>
      <c r="B817" s="69">
        <f>IF('Industrial Assumptions'!K49="# sf per tenant",0,'Industrial Assumptions'!K49)</f>
        <v>0</v>
      </c>
    </row>
    <row r="818" spans="1:2" s="7" customFormat="1" x14ac:dyDescent="0.35">
      <c r="A818" s="81" t="s">
        <v>390</v>
      </c>
      <c r="B818" s="69">
        <f>IF('Industrial Assumptions'!K51="# years",0,'Industrial Assumptions'!K51)</f>
        <v>0</v>
      </c>
    </row>
    <row r="819" spans="1:2" s="7" customFormat="1" x14ac:dyDescent="0.35">
      <c r="A819" s="81" t="s">
        <v>391</v>
      </c>
      <c r="B819" s="69">
        <f>IF('Industrial Assumptions'!K52="$ per sf per year",0,'Industrial Assumptions'!K52)</f>
        <v>0</v>
      </c>
    </row>
    <row r="820" spans="1:2" s="7" customFormat="1" x14ac:dyDescent="0.35">
      <c r="A820" s="81" t="s">
        <v>392</v>
      </c>
      <c r="B820" s="69">
        <f>IF('Industrial Assumptions'!K53="% per year",0,'Industrial Assumptions'!K53)</f>
        <v>0</v>
      </c>
    </row>
    <row r="821" spans="1:2" s="7" customFormat="1" x14ac:dyDescent="0.35">
      <c r="A821" s="81" t="s">
        <v>393</v>
      </c>
      <c r="B821" s="69">
        <f>IF('Industrial Assumptions'!K54="# months",0,'Industrial Assumptions'!K54)</f>
        <v>0</v>
      </c>
    </row>
    <row r="822" spans="1:2" s="7" customFormat="1" x14ac:dyDescent="0.35">
      <c r="A822" s="81" t="s">
        <v>394</v>
      </c>
      <c r="B822" s="69">
        <f>IF('Industrial Assumptions'!K55="$ per rentable sf",0,'Industrial Assumptions'!K55)</f>
        <v>0</v>
      </c>
    </row>
    <row r="823" spans="1:2" s="7" customFormat="1" x14ac:dyDescent="0.35">
      <c r="A823" s="81" t="s">
        <v>395</v>
      </c>
      <c r="B823" s="69">
        <f>IF('Industrial Assumptions'!K56="% of lease value",0,'Industrial Assumptions'!K56)</f>
        <v>0</v>
      </c>
    </row>
    <row r="824" spans="1:2" s="7" customFormat="1" x14ac:dyDescent="0.35">
      <c r="A824" s="81" t="s">
        <v>396</v>
      </c>
      <c r="B824" s="69">
        <f>IF('Industrial Assumptions'!K58="% of gross potential revenue",0,'Industrial Assumptions'!K58)</f>
        <v>0</v>
      </c>
    </row>
    <row r="825" spans="1:2" s="7" customFormat="1" x14ac:dyDescent="0.35">
      <c r="A825" s="81" t="s">
        <v>397</v>
      </c>
      <c r="B825" s="69">
        <f>IF('Industrial Assumptions'!K59="% of gross potential revenue",0,'Industrial Assumptions'!K59)</f>
        <v>0</v>
      </c>
    </row>
    <row r="826" spans="1:2" s="7" customFormat="1" x14ac:dyDescent="0.35">
      <c r="A826" s="81" t="s">
        <v>398</v>
      </c>
      <c r="B826" s="69">
        <f>IF('Industrial Assumptions'!K61="% of tenants",0,'Industrial Assumptions'!K61)</f>
        <v>0</v>
      </c>
    </row>
    <row r="827" spans="1:2" s="7" customFormat="1" x14ac:dyDescent="0.35">
      <c r="A827" s="81" t="s">
        <v>399</v>
      </c>
      <c r="B827" s="69">
        <f>IF('Industrial Assumptions'!K62="# tenants",0,'Industrial Assumptions'!K62)</f>
        <v>0</v>
      </c>
    </row>
    <row r="828" spans="1:2" s="7" customFormat="1" x14ac:dyDescent="0.35">
      <c r="A828" s="81" t="s">
        <v>400</v>
      </c>
      <c r="B828" s="69">
        <f>IF('Industrial Assumptions'!K63="every # months",0,'Industrial Assumptions'!K63)</f>
        <v>0</v>
      </c>
    </row>
    <row r="829" spans="1:2" s="7" customFormat="1" x14ac:dyDescent="0.35">
      <c r="A829" s="81" t="s">
        <v>401</v>
      </c>
      <c r="B829" s="69">
        <f>IF('Industrial Assumptions'!E68="$ per month",0,'Industrial Assumptions'!E68)</f>
        <v>0</v>
      </c>
    </row>
    <row r="830" spans="1:2" s="7" customFormat="1" x14ac:dyDescent="0.35">
      <c r="A830" s="81" t="s">
        <v>402</v>
      </c>
      <c r="B830" s="69">
        <f>IF('Industrial Assumptions'!E69="% per year",0,'Industrial Assumptions'!E69)</f>
        <v>0</v>
      </c>
    </row>
    <row r="831" spans="1:2" s="7" customFormat="1" x14ac:dyDescent="0.35">
      <c r="A831" s="81" t="s">
        <v>694</v>
      </c>
      <c r="B831" s="69" t="str">
        <f>IF(SUM(B832:B837)&gt;0,"Complex","Simple")</f>
        <v>Simple</v>
      </c>
    </row>
    <row r="832" spans="1:2" s="7" customFormat="1" x14ac:dyDescent="0.35">
      <c r="A832" s="81" t="s">
        <v>404</v>
      </c>
      <c r="B832" s="69">
        <f>IF('Industrial Assumptions'!E75="$ per sf per year",0,'Industrial Assumptions'!E75)</f>
        <v>0</v>
      </c>
    </row>
    <row r="833" spans="1:2" s="7" customFormat="1" x14ac:dyDescent="0.35">
      <c r="A833" s="81" t="s">
        <v>405</v>
      </c>
      <c r="B833" s="69">
        <f>IF('Industrial Assumptions'!E76="$ per sf per year",0,'Industrial Assumptions'!E76)</f>
        <v>0</v>
      </c>
    </row>
    <row r="834" spans="1:2" s="7" customFormat="1" x14ac:dyDescent="0.35">
      <c r="A834" s="81" t="s">
        <v>406</v>
      </c>
      <c r="B834" s="69">
        <f>IF('Industrial Assumptions'!E77="$ per sf per year",0,'Industrial Assumptions'!E77)</f>
        <v>0</v>
      </c>
    </row>
    <row r="835" spans="1:2" s="7" customFormat="1" x14ac:dyDescent="0.35">
      <c r="A835" s="81" t="s">
        <v>407</v>
      </c>
      <c r="B835" s="69">
        <f>IF('Industrial Assumptions'!E78="$ per sf per year",0,'Industrial Assumptions'!E78)</f>
        <v>0</v>
      </c>
    </row>
    <row r="836" spans="1:2" s="7" customFormat="1" x14ac:dyDescent="0.35">
      <c r="A836" s="81" t="s">
        <v>408</v>
      </c>
      <c r="B836" s="69">
        <f>IF('Industrial Assumptions'!E79="$ per sf per year",0,'Industrial Assumptions'!E79)</f>
        <v>0</v>
      </c>
    </row>
    <row r="837" spans="1:2" s="7" customFormat="1" x14ac:dyDescent="0.35">
      <c r="A837" s="81" t="s">
        <v>409</v>
      </c>
      <c r="B837" s="69">
        <f>IF('Industrial Assumptions'!E80="$ per sf per year",0,'Industrial Assumptions'!E80)</f>
        <v>0</v>
      </c>
    </row>
    <row r="838" spans="1:2" s="7" customFormat="1" x14ac:dyDescent="0.35">
      <c r="A838" s="81" t="s">
        <v>410</v>
      </c>
      <c r="B838" s="69" t="str">
        <f>IF('Industrial Assumptions'!G75="tenant / landlord","Landlord",'Industrial Assumptions'!G75)</f>
        <v>Landlord</v>
      </c>
    </row>
    <row r="839" spans="1:2" s="7" customFormat="1" x14ac:dyDescent="0.35">
      <c r="A839" s="81" t="s">
        <v>411</v>
      </c>
      <c r="B839" s="69" t="str">
        <f>IF('Industrial Assumptions'!G76="tenant / landlord","Landlord",'Industrial Assumptions'!G76)</f>
        <v>Landlord</v>
      </c>
    </row>
    <row r="840" spans="1:2" s="7" customFormat="1" x14ac:dyDescent="0.35">
      <c r="A840" s="81" t="s">
        <v>412</v>
      </c>
      <c r="B840" s="69" t="str">
        <f>IF('Industrial Assumptions'!G77="tenant / landlord","Landlord",'Industrial Assumptions'!G77)</f>
        <v>Landlord</v>
      </c>
    </row>
    <row r="841" spans="1:2" s="7" customFormat="1" x14ac:dyDescent="0.35">
      <c r="A841" s="81" t="s">
        <v>413</v>
      </c>
      <c r="B841" s="69" t="str">
        <f>IF('Industrial Assumptions'!G78="tenant / landlord","Landlord",'Industrial Assumptions'!G78)</f>
        <v>Landlord</v>
      </c>
    </row>
    <row r="842" spans="1:2" s="7" customFormat="1" x14ac:dyDescent="0.35">
      <c r="A842" s="81" t="s">
        <v>414</v>
      </c>
      <c r="B842" s="69" t="str">
        <f>IF('Industrial Assumptions'!G79="tenant / landlord","Landlord",'Industrial Assumptions'!G79)</f>
        <v>Landlord</v>
      </c>
    </row>
    <row r="843" spans="1:2" s="7" customFormat="1" x14ac:dyDescent="0.35">
      <c r="A843" s="81" t="s">
        <v>415</v>
      </c>
      <c r="B843" s="69" t="s">
        <v>416</v>
      </c>
    </row>
    <row r="844" spans="1:2" s="7" customFormat="1" x14ac:dyDescent="0.35">
      <c r="A844" s="81" t="s">
        <v>417</v>
      </c>
      <c r="B844" s="69">
        <f>IF('Industrial Assumptions'!E83="% of egr",0,'Industrial Assumptions'!E83)</f>
        <v>0</v>
      </c>
    </row>
    <row r="845" spans="1:2" s="7" customFormat="1" x14ac:dyDescent="0.35">
      <c r="A845" s="81" t="s">
        <v>418</v>
      </c>
      <c r="B845" s="69">
        <f>IF('Industrial Assumptions'!E88="% of egr",0,'Industrial Assumptions'!E88)</f>
        <v>0</v>
      </c>
    </row>
    <row r="846" spans="1:2" s="7" customFormat="1" x14ac:dyDescent="0.35">
      <c r="A846" s="81" t="s">
        <v>419</v>
      </c>
      <c r="B846" s="69">
        <f>IF('Industrial Assumptions'!E89="% of egr",0,'Industrial Assumptions'!E89)</f>
        <v>0</v>
      </c>
    </row>
    <row r="847" spans="1:2" s="7" customFormat="1" x14ac:dyDescent="0.35">
      <c r="A847" s="81" t="s">
        <v>420</v>
      </c>
      <c r="B847" s="69">
        <f>IF('Industrial Assumptions'!E94="% per year",0,'Industrial Assumptions'!E94)</f>
        <v>0</v>
      </c>
    </row>
    <row r="848" spans="1:2" s="7" customFormat="1" x14ac:dyDescent="0.35">
      <c r="A848" s="81" t="s">
        <v>421</v>
      </c>
      <c r="B848" s="69">
        <f>IF('Industrial Assumptions'!E99="%",0,'Industrial Assumptions'!E99)</f>
        <v>0</v>
      </c>
    </row>
    <row r="849" spans="1:2" s="7" customFormat="1" x14ac:dyDescent="0.35">
      <c r="A849" s="81" t="s">
        <v>422</v>
      </c>
      <c r="B849" s="69">
        <f>IF('Industrial Assumptions'!E104="# sf",0,'Industrial Assumptions'!E104)</f>
        <v>0</v>
      </c>
    </row>
    <row r="850" spans="1:2" s="7" customFormat="1" x14ac:dyDescent="0.35">
      <c r="A850" s="81" t="s">
        <v>423</v>
      </c>
      <c r="B850" s="69">
        <f>IF('Industrial Assumptions'!E105="% of gross sf",0,'Industrial Assumptions'!E105)</f>
        <v>0</v>
      </c>
    </row>
    <row r="851" spans="1:2" s="7" customFormat="1" x14ac:dyDescent="0.35">
      <c r="A851" s="81" t="s">
        <v>424</v>
      </c>
      <c r="B851" s="69">
        <f>IF('Industrial Assumptions'!E106="% of gross sf",0,'Industrial Assumptions'!E106)</f>
        <v>0</v>
      </c>
    </row>
    <row r="852" spans="1:2" s="7" customFormat="1" x14ac:dyDescent="0.35">
      <c r="A852" s="81" t="s">
        <v>425</v>
      </c>
      <c r="B852" s="69">
        <f>IF('Industrial Assumptions'!E107="% of gross sf",0,'Industrial Assumptions'!E107)</f>
        <v>0</v>
      </c>
    </row>
    <row r="853" spans="1:2" s="7" customFormat="1" x14ac:dyDescent="0.35">
      <c r="A853" s="81" t="s">
        <v>426</v>
      </c>
      <c r="B853" s="69" t="str">
        <f>IF('Industrial Assumptions'!G104="yes / no","No",'Industrial Assumptions'!G104)</f>
        <v>No</v>
      </c>
    </row>
    <row r="854" spans="1:2" s="7" customFormat="1" x14ac:dyDescent="0.35">
      <c r="A854" s="81" t="s">
        <v>427</v>
      </c>
      <c r="B854" s="69" t="str">
        <f>IF('Industrial Assumptions'!G105="yes / no","No",'Industrial Assumptions'!G105)</f>
        <v>No</v>
      </c>
    </row>
    <row r="855" spans="1:2" s="7" customFormat="1" x14ac:dyDescent="0.35">
      <c r="A855" s="81" t="s">
        <v>428</v>
      </c>
      <c r="B855" s="69" t="str">
        <f>IF('Industrial Assumptions'!G106="yes / no","No",'Industrial Assumptions'!G106)</f>
        <v>No</v>
      </c>
    </row>
    <row r="856" spans="1:2" s="7" customFormat="1" x14ac:dyDescent="0.35">
      <c r="A856" s="81" t="s">
        <v>429</v>
      </c>
      <c r="B856" s="69" t="str">
        <f>IF('Industrial Assumptions'!G107="yes / no","No",'Industrial Assumptions'!G107)</f>
        <v>No</v>
      </c>
    </row>
    <row r="857" spans="1:2" s="7" customFormat="1" x14ac:dyDescent="0.35">
      <c r="A857" s="81" t="s">
        <v>695</v>
      </c>
      <c r="B857" s="69">
        <f>IF('Parking Assumptions'!D9="# stalls",0,'Parking Assumptions'!D9)</f>
        <v>0</v>
      </c>
    </row>
    <row r="858" spans="1:2" s="7" customFormat="1" x14ac:dyDescent="0.35">
      <c r="A858" s="81" t="s">
        <v>696</v>
      </c>
      <c r="B858" s="69">
        <f>IF('Parking Assumptions'!D10="# stalls",0,'Parking Assumptions'!D10)</f>
        <v>0</v>
      </c>
    </row>
    <row r="859" spans="1:2" s="7" customFormat="1" x14ac:dyDescent="0.35">
      <c r="A859" s="81" t="s">
        <v>697</v>
      </c>
      <c r="B859" s="69">
        <f>IF('Parking Assumptions'!D11="# stalls",0,'Parking Assumptions'!D11)</f>
        <v>0</v>
      </c>
    </row>
    <row r="860" spans="1:2" s="7" customFormat="1" x14ac:dyDescent="0.35">
      <c r="A860" s="81" t="s">
        <v>698</v>
      </c>
      <c r="B860" s="69">
        <f>IF('Parking Assumptions'!D12="# stalls",0,'Parking Assumptions'!D12)</f>
        <v>0</v>
      </c>
    </row>
    <row r="861" spans="1:2" s="7" customFormat="1" x14ac:dyDescent="0.35">
      <c r="A861" s="81" t="s">
        <v>699</v>
      </c>
      <c r="B861" s="69">
        <f>IF('Parking Assumptions'!D13="# stalls",0,'Parking Assumptions'!D13)</f>
        <v>0</v>
      </c>
    </row>
    <row r="862" spans="1:2" s="7" customFormat="1" x14ac:dyDescent="0.35">
      <c r="A862" s="81" t="s">
        <v>700</v>
      </c>
      <c r="B862" s="69">
        <f>IF('Parking Assumptions'!D14="# stalls",0,'Parking Assumptions'!D14)</f>
        <v>0</v>
      </c>
    </row>
    <row r="863" spans="1:2" s="7" customFormat="1" x14ac:dyDescent="0.35">
      <c r="A863" s="81" t="s">
        <v>701</v>
      </c>
      <c r="B863" s="69">
        <f>IF('Parking Assumptions'!D24="$ per stall per month",0,'Parking Assumptions'!D24)</f>
        <v>0</v>
      </c>
    </row>
    <row r="864" spans="1:2" s="7" customFormat="1" x14ac:dyDescent="0.35">
      <c r="A864" s="81" t="s">
        <v>702</v>
      </c>
      <c r="B864" s="69">
        <f>IF('Parking Assumptions'!D25="$ per stall per month",0,'Parking Assumptions'!D25)</f>
        <v>0</v>
      </c>
    </row>
    <row r="865" spans="1:2" s="7" customFormat="1" x14ac:dyDescent="0.35">
      <c r="A865" s="81" t="s">
        <v>703</v>
      </c>
      <c r="B865" s="69">
        <f>IF('Parking Assumptions'!D26="$ per stall per month",0,'Parking Assumptions'!D26)</f>
        <v>0</v>
      </c>
    </row>
    <row r="866" spans="1:2" s="7" customFormat="1" x14ac:dyDescent="0.35">
      <c r="A866" s="81" t="s">
        <v>704</v>
      </c>
      <c r="B866" s="69">
        <f>IF('Parking Assumptions'!D27="$ per stall per month",0,'Parking Assumptions'!D27)</f>
        <v>0</v>
      </c>
    </row>
    <row r="867" spans="1:2" s="7" customFormat="1" x14ac:dyDescent="0.35">
      <c r="A867" s="81" t="s">
        <v>705</v>
      </c>
      <c r="B867" s="69">
        <f>IF('Parking Assumptions'!D28="$ per stall per month",0,'Parking Assumptions'!D28)</f>
        <v>0</v>
      </c>
    </row>
    <row r="868" spans="1:2" s="7" customFormat="1" x14ac:dyDescent="0.35">
      <c r="A868" s="229" t="s">
        <v>706</v>
      </c>
      <c r="B868" s="69">
        <f>IF('Parking Assumptions'!D33="% per year",0,'Parking Assumptions'!D33)</f>
        <v>0</v>
      </c>
    </row>
    <row r="869" spans="1:2" s="7" customFormat="1" x14ac:dyDescent="0.35">
      <c r="A869" s="229" t="s">
        <v>707</v>
      </c>
      <c r="B869" s="69">
        <f>IF('Parking Assumptions'!D34="% per year",0,'Parking Assumptions'!D34)</f>
        <v>0</v>
      </c>
    </row>
    <row r="870" spans="1:2" s="7" customFormat="1" x14ac:dyDescent="0.35">
      <c r="A870" s="229" t="s">
        <v>708</v>
      </c>
      <c r="B870" s="69">
        <f>IF('Parking Assumptions'!D35="% per year",0,'Parking Assumptions'!D35)</f>
        <v>0</v>
      </c>
    </row>
    <row r="871" spans="1:2" s="7" customFormat="1" x14ac:dyDescent="0.35">
      <c r="A871" s="229" t="s">
        <v>709</v>
      </c>
      <c r="B871" s="69">
        <f>IF('Parking Assumptions'!D36="% per year",0,'Parking Assumptions'!D36)</f>
        <v>0</v>
      </c>
    </row>
    <row r="872" spans="1:2" s="7" customFormat="1" x14ac:dyDescent="0.35">
      <c r="A872" s="229" t="s">
        <v>710</v>
      </c>
      <c r="B872" s="69">
        <f>IF('Parking Assumptions'!D37="% per year",0,'Parking Assumptions'!D37)</f>
        <v>0</v>
      </c>
    </row>
    <row r="873" spans="1:2" s="7" customFormat="1" x14ac:dyDescent="0.35">
      <c r="A873" s="229" t="s">
        <v>711</v>
      </c>
      <c r="B873" s="69">
        <f>IF('Parking Assumptions'!D38="% per year",0,'Parking Assumptions'!D38)</f>
        <v>0</v>
      </c>
    </row>
    <row r="874" spans="1:2" s="7" customFormat="1" x14ac:dyDescent="0.35">
      <c r="A874" s="81" t="s">
        <v>712</v>
      </c>
      <c r="B874" s="69">
        <f>IF('Parking Assumptions'!D42="% of total public stalls",0,'Parking Assumptions'!D42)</f>
        <v>0</v>
      </c>
    </row>
    <row r="875" spans="1:2" s="7" customFormat="1" x14ac:dyDescent="0.35">
      <c r="A875" s="81" t="s">
        <v>713</v>
      </c>
      <c r="B875" s="69">
        <f>IF('Parking Assumptions'!D43="$ per stall per day",0,'Parking Assumptions'!D43)</f>
        <v>0</v>
      </c>
    </row>
    <row r="876" spans="1:2" s="7" customFormat="1" x14ac:dyDescent="0.35">
      <c r="A876" s="81" t="s">
        <v>714</v>
      </c>
      <c r="B876" s="69">
        <f>IF('Parking Assumptions'!D44="# per stall per day",0,'Parking Assumptions'!D44)</f>
        <v>0</v>
      </c>
    </row>
    <row r="877" spans="1:2" s="7" customFormat="1" x14ac:dyDescent="0.35">
      <c r="A877" s="81" t="s">
        <v>715</v>
      </c>
      <c r="B877" s="69">
        <f>IF('Parking Assumptions'!D45="% of transient public stalls",0,'Parking Assumptions'!D45)</f>
        <v>0</v>
      </c>
    </row>
    <row r="878" spans="1:2" s="7" customFormat="1" x14ac:dyDescent="0.35">
      <c r="A878" s="81" t="s">
        <v>716</v>
      </c>
      <c r="B878" s="69">
        <f>IF('Parking Assumptions'!D46="% of transient public stalls",0,'Parking Assumptions'!D46)</f>
        <v>0</v>
      </c>
    </row>
    <row r="879" spans="1:2" s="7" customFormat="1" x14ac:dyDescent="0.35">
      <c r="A879" s="81" t="s">
        <v>579</v>
      </c>
      <c r="B879" s="69">
        <f>IF('Parking Assumptions'!D47="# months",0,'Parking Assumptions'!D47)</f>
        <v>0</v>
      </c>
    </row>
    <row r="880" spans="1:2" s="7" customFormat="1" x14ac:dyDescent="0.35">
      <c r="A880" s="81" t="s">
        <v>717</v>
      </c>
      <c r="B880" s="69">
        <f>IF('Parking Assumptions'!D51="$ per stall per month",0,'Parking Assumptions'!D51)</f>
        <v>0</v>
      </c>
    </row>
    <row r="881" spans="1:2" s="7" customFormat="1" x14ac:dyDescent="0.35">
      <c r="A881" s="81" t="s">
        <v>718</v>
      </c>
      <c r="B881" s="69">
        <f>IF('Parking Assumptions'!D52="% of non transient public stalls",0,'Parking Assumptions'!D52)</f>
        <v>0</v>
      </c>
    </row>
    <row r="882" spans="1:2" s="7" customFormat="1" x14ac:dyDescent="0.35">
      <c r="A882" s="81" t="s">
        <v>719</v>
      </c>
      <c r="B882" s="69">
        <f>IF('Parking Assumptions'!D53="# months",0,'Parking Assumptions'!D53)</f>
        <v>0</v>
      </c>
    </row>
    <row r="883" spans="1:2" s="7" customFormat="1" x14ac:dyDescent="0.35">
      <c r="A883" s="81" t="s">
        <v>417</v>
      </c>
      <c r="B883" s="69">
        <f>IF('Parking Assumptions'!D57="% of egr",0,'Parking Assumptions'!D57)</f>
        <v>0</v>
      </c>
    </row>
    <row r="884" spans="1:2" s="7" customFormat="1" x14ac:dyDescent="0.35">
      <c r="A884" s="81" t="s">
        <v>418</v>
      </c>
      <c r="B884" s="69">
        <f>IF('Parking Assumptions'!D58="% of egr",0,'Parking Assumptions'!D58)</f>
        <v>0</v>
      </c>
    </row>
    <row r="885" spans="1:2" s="7" customFormat="1" x14ac:dyDescent="0.35">
      <c r="A885" s="81" t="s">
        <v>419</v>
      </c>
      <c r="B885" s="69">
        <f>IF('Parking Assumptions'!D59="% of egr",0,'Parking Assumptions'!D59)</f>
        <v>0</v>
      </c>
    </row>
    <row r="886" spans="1:2" s="7" customFormat="1" x14ac:dyDescent="0.35">
      <c r="A886" s="81" t="s">
        <v>421</v>
      </c>
      <c r="B886" s="69">
        <f>IF('Parking Assumptions'!D64="%",0,'Parking Assumptions'!D64)</f>
        <v>0</v>
      </c>
    </row>
    <row r="887" spans="1:2" s="7" customFormat="1" x14ac:dyDescent="0.35">
      <c r="A887" s="81" t="s">
        <v>720</v>
      </c>
      <c r="B887" s="69">
        <f>IF('Parking Assumptions'!D18="# sf",0,'Parking Assumptions'!D18)</f>
        <v>0</v>
      </c>
    </row>
    <row r="888" spans="1:2" s="7" customFormat="1" x14ac:dyDescent="0.35">
      <c r="A888" s="81" t="s">
        <v>721</v>
      </c>
      <c r="B888" s="69">
        <f>IF('Parking Assumptions'!D19="%",0,'Parking Assumptions'!D19)</f>
        <v>0</v>
      </c>
    </row>
    <row r="889" spans="1:2" s="7" customFormat="1" x14ac:dyDescent="0.35"/>
    <row r="890" spans="1:2" s="7" customFormat="1" x14ac:dyDescent="0.35"/>
    <row r="891" spans="1:2" s="7" customFormat="1" x14ac:dyDescent="0.35"/>
    <row r="892" spans="1:2" s="7" customFormat="1" x14ac:dyDescent="0.35"/>
    <row r="893" spans="1:2" s="7" customFormat="1" x14ac:dyDescent="0.35"/>
    <row r="894" spans="1:2" s="7" customFormat="1" x14ac:dyDescent="0.35"/>
    <row r="895" spans="1:2" s="7" customFormat="1" x14ac:dyDescent="0.35"/>
    <row r="896" spans="1:2" s="7" customFormat="1" x14ac:dyDescent="0.35"/>
    <row r="897" s="7" customFormat="1" x14ac:dyDescent="0.35"/>
    <row r="898" s="7" customFormat="1" x14ac:dyDescent="0.35"/>
    <row r="899" s="7" customFormat="1" x14ac:dyDescent="0.35"/>
    <row r="900" s="7" customFormat="1" x14ac:dyDescent="0.35"/>
    <row r="901" s="7" customFormat="1" x14ac:dyDescent="0.35"/>
    <row r="902" s="7" customFormat="1" x14ac:dyDescent="0.35"/>
    <row r="903" s="7" customFormat="1" x14ac:dyDescent="0.35"/>
    <row r="904" s="7" customFormat="1" x14ac:dyDescent="0.35"/>
    <row r="905" s="7" customFormat="1" x14ac:dyDescent="0.35"/>
    <row r="906" s="7" customFormat="1" x14ac:dyDescent="0.35"/>
    <row r="907" s="7" customFormat="1" x14ac:dyDescent="0.35"/>
    <row r="908" s="7" customFormat="1" x14ac:dyDescent="0.35"/>
    <row r="909" s="7" customFormat="1" x14ac:dyDescent="0.35"/>
    <row r="910" s="7" customFormat="1" x14ac:dyDescent="0.35"/>
    <row r="911" s="7" customFormat="1" x14ac:dyDescent="0.35"/>
    <row r="912" s="7" customFormat="1" x14ac:dyDescent="0.35"/>
    <row r="913" spans="2:2" s="7" customFormat="1" x14ac:dyDescent="0.35"/>
    <row r="914" spans="2:2" s="7" customFormat="1" x14ac:dyDescent="0.35"/>
    <row r="915" spans="2:2" s="7" customFormat="1" x14ac:dyDescent="0.35"/>
    <row r="916" spans="2:2" s="7" customFormat="1" x14ac:dyDescent="0.35"/>
    <row r="917" spans="2:2" s="7" customFormat="1" x14ac:dyDescent="0.35"/>
    <row r="918" spans="2:2" s="7" customFormat="1" x14ac:dyDescent="0.35"/>
    <row r="919" spans="2:2" s="7" customFormat="1" x14ac:dyDescent="0.35"/>
    <row r="920" spans="2:2" s="7" customFormat="1" x14ac:dyDescent="0.35"/>
    <row r="921" spans="2:2" s="7" customFormat="1" x14ac:dyDescent="0.35">
      <c r="B921" s="69"/>
    </row>
    <row r="922" spans="2:2" s="7" customFormat="1" x14ac:dyDescent="0.35">
      <c r="B922" s="69"/>
    </row>
    <row r="923" spans="2:2" s="7" customFormat="1" x14ac:dyDescent="0.35">
      <c r="B923" s="69"/>
    </row>
    <row r="924" spans="2:2" s="7" customFormat="1" x14ac:dyDescent="0.35">
      <c r="B924" s="69"/>
    </row>
    <row r="925" spans="2:2" s="7" customFormat="1" x14ac:dyDescent="0.35">
      <c r="B925" s="69"/>
    </row>
    <row r="926" spans="2:2" s="7" customFormat="1" x14ac:dyDescent="0.35">
      <c r="B926" s="69"/>
    </row>
    <row r="927" spans="2:2" s="7" customFormat="1" x14ac:dyDescent="0.35">
      <c r="B927" s="69"/>
    </row>
    <row r="928" spans="2:2" s="7" customFormat="1" x14ac:dyDescent="0.35">
      <c r="B928" s="69"/>
    </row>
    <row r="929" spans="1:3" s="7" customFormat="1" x14ac:dyDescent="0.35">
      <c r="B929" s="69"/>
    </row>
    <row r="930" spans="1:3" s="7" customFormat="1" x14ac:dyDescent="0.35">
      <c r="B930" s="69"/>
    </row>
    <row r="931" spans="1:3" s="7" customFormat="1" x14ac:dyDescent="0.35">
      <c r="B931" s="69"/>
    </row>
    <row r="932" spans="1:3" s="7" customFormat="1" x14ac:dyDescent="0.35">
      <c r="B932" s="69"/>
    </row>
    <row r="933" spans="1:3" s="7" customFormat="1" x14ac:dyDescent="0.35">
      <c r="B933" s="69"/>
    </row>
    <row r="934" spans="1:3" s="7" customFormat="1" x14ac:dyDescent="0.35">
      <c r="B934" s="69"/>
    </row>
    <row r="935" spans="1:3" s="7" customFormat="1" x14ac:dyDescent="0.35">
      <c r="B935" s="69"/>
    </row>
    <row r="936" spans="1:3" s="7" customFormat="1" x14ac:dyDescent="0.35">
      <c r="B936" s="69"/>
    </row>
    <row r="937" spans="1:3" s="7" customFormat="1" x14ac:dyDescent="0.35">
      <c r="A937" s="7" t="s">
        <v>722</v>
      </c>
      <c r="B937" s="69"/>
      <c r="C937" s="7" t="str">
        <f>A937&amp;" - Specialty / Other Lease"</f>
        <v>Tenant Count - Specialty / Other Lease</v>
      </c>
    </row>
    <row r="938" spans="1:3" s="7" customFormat="1" x14ac:dyDescent="0.35">
      <c r="A938" s="7" t="s">
        <v>723</v>
      </c>
      <c r="B938" s="69"/>
      <c r="C938" s="7" t="str">
        <f>A938&amp;" - Specialty / Other Lease"</f>
        <v>Average Space Size - Specialty / Other Lease</v>
      </c>
    </row>
    <row r="939" spans="1:3" s="7" customFormat="1" x14ac:dyDescent="0.35">
      <c r="B939" s="69"/>
    </row>
    <row r="940" spans="1:3" s="7" customFormat="1" x14ac:dyDescent="0.35">
      <c r="A940" s="7" t="s">
        <v>724</v>
      </c>
      <c r="B940" s="69"/>
      <c r="C940" s="7" t="str">
        <f t="shared" ref="C940:C945" si="1">A940&amp;" - Specialty / Other Lease"</f>
        <v>Contract Term - Specialty / Other Lease</v>
      </c>
    </row>
    <row r="941" spans="1:3" s="7" customFormat="1" x14ac:dyDescent="0.35">
      <c r="A941" s="7" t="s">
        <v>725</v>
      </c>
      <c r="B941" s="69"/>
      <c r="C941" s="7" t="str">
        <f t="shared" si="1"/>
        <v>Annual Rental Rate - Specialty / Other Lease</v>
      </c>
    </row>
    <row r="942" spans="1:3" s="7" customFormat="1" x14ac:dyDescent="0.35">
      <c r="A942" s="7" t="s">
        <v>726</v>
      </c>
      <c r="B942" s="69"/>
      <c r="C942" s="7" t="str">
        <f t="shared" si="1"/>
        <v>Average Rent Escalation - Specialty / Other Lease</v>
      </c>
    </row>
    <row r="943" spans="1:3" s="7" customFormat="1" x14ac:dyDescent="0.35">
      <c r="A943" s="7" t="s">
        <v>727</v>
      </c>
      <c r="B943" s="69"/>
      <c r="C943" s="7" t="str">
        <f t="shared" si="1"/>
        <v>Free Rent Concession - Specialty / Other Lease</v>
      </c>
    </row>
    <row r="944" spans="1:3" s="7" customFormat="1" x14ac:dyDescent="0.35">
      <c r="A944" s="7" t="s">
        <v>728</v>
      </c>
      <c r="B944" s="69"/>
      <c r="C944" s="7" t="str">
        <f t="shared" si="1"/>
        <v>TI Allowance - Specialty / Other Lease</v>
      </c>
    </row>
    <row r="945" spans="1:3" s="7" customFormat="1" x14ac:dyDescent="0.35">
      <c r="A945" s="7" t="s">
        <v>729</v>
      </c>
      <c r="B945" s="69"/>
      <c r="C945" s="7" t="str">
        <f t="shared" si="1"/>
        <v>Commissions - Specialty / Other Lease</v>
      </c>
    </row>
    <row r="946" spans="1:3" s="7" customFormat="1" x14ac:dyDescent="0.35">
      <c r="B946" s="69"/>
    </row>
    <row r="947" spans="1:3" s="7" customFormat="1" x14ac:dyDescent="0.35">
      <c r="A947" s="7" t="s">
        <v>730</v>
      </c>
      <c r="B947" s="69"/>
      <c r="C947" s="7" t="str">
        <f t="shared" ref="C947:C948" si="2">A947&amp;" - Specialty / Other Lease"</f>
        <v>Vacancy Loss - Specialty / Other Lease</v>
      </c>
    </row>
    <row r="948" spans="1:3" s="7" customFormat="1" x14ac:dyDescent="0.35">
      <c r="A948" s="7" t="s">
        <v>731</v>
      </c>
      <c r="B948" s="69"/>
      <c r="C948" s="7" t="str">
        <f t="shared" si="2"/>
        <v>Credit Loss - Specialty / Other Lease</v>
      </c>
    </row>
    <row r="949" spans="1:3" s="7" customFormat="1" x14ac:dyDescent="0.35">
      <c r="B949" s="69"/>
    </row>
    <row r="950" spans="1:3" s="7" customFormat="1" x14ac:dyDescent="0.35">
      <c r="A950" s="7" t="s">
        <v>732</v>
      </c>
      <c r="B950" s="69"/>
      <c r="C950" s="7" t="str">
        <f t="shared" ref="C950:C952" si="3">A950&amp;" - Specialty / Other Lease"</f>
        <v>Pre-leased Percentage - Specialty / Other Lease</v>
      </c>
    </row>
    <row r="951" spans="1:3" s="7" customFormat="1" x14ac:dyDescent="0.35">
      <c r="A951" s="7" t="s">
        <v>733</v>
      </c>
      <c r="B951" s="69"/>
      <c r="C951" s="7" t="str">
        <f t="shared" si="3"/>
        <v>Absorption - Specialty / Other Lease</v>
      </c>
    </row>
    <row r="952" spans="1:3" s="7" customFormat="1" x14ac:dyDescent="0.35">
      <c r="A952" s="7" t="s">
        <v>734</v>
      </c>
      <c r="B952" s="69"/>
      <c r="C952" s="7" t="str">
        <f t="shared" si="3"/>
        <v>Absorption Frequency - Specialty / Other Lease</v>
      </c>
    </row>
    <row r="953" spans="1:3" s="7" customFormat="1" x14ac:dyDescent="0.35">
      <c r="B953" s="69"/>
    </row>
    <row r="954" spans="1:3" s="7" customFormat="1" x14ac:dyDescent="0.35">
      <c r="B954" s="69"/>
    </row>
    <row r="955" spans="1:3" s="7" customFormat="1" x14ac:dyDescent="0.35">
      <c r="B955" s="69"/>
    </row>
    <row r="956" spans="1:3" s="7" customFormat="1" x14ac:dyDescent="0.35">
      <c r="B956" s="69"/>
    </row>
    <row r="957" spans="1:3" s="7" customFormat="1" x14ac:dyDescent="0.35">
      <c r="B957" s="69"/>
    </row>
    <row r="958" spans="1:3" s="7" customFormat="1" x14ac:dyDescent="0.35">
      <c r="B958" s="69"/>
    </row>
    <row r="959" spans="1:3" s="7" customFormat="1" x14ac:dyDescent="0.35">
      <c r="B959" s="69"/>
    </row>
    <row r="960" spans="1:3" s="7" customFormat="1" x14ac:dyDescent="0.35">
      <c r="B960" s="69"/>
    </row>
    <row r="961" spans="1:3" s="7" customFormat="1" x14ac:dyDescent="0.35">
      <c r="B961" s="69"/>
    </row>
    <row r="962" spans="1:3" s="7" customFormat="1" x14ac:dyDescent="0.35">
      <c r="B962" s="69"/>
    </row>
    <row r="963" spans="1:3" s="7" customFormat="1" x14ac:dyDescent="0.35">
      <c r="B963" s="69"/>
    </row>
    <row r="964" spans="1:3" s="7" customFormat="1" x14ac:dyDescent="0.35">
      <c r="B964" s="69"/>
    </row>
    <row r="965" spans="1:3" s="7" customFormat="1" x14ac:dyDescent="0.35">
      <c r="A965" s="7" t="s">
        <v>735</v>
      </c>
      <c r="B965" s="69">
        <v>1</v>
      </c>
      <c r="C965" s="7" t="str">
        <f>"Industrial " &amp;A965&amp;" "&amp;B965</f>
        <v>Industrial Free Rent 1</v>
      </c>
    </row>
    <row r="966" spans="1:3" s="7" customFormat="1" x14ac:dyDescent="0.35">
      <c r="A966" s="7" t="s">
        <v>735</v>
      </c>
      <c r="B966" s="69">
        <f>B965+1</f>
        <v>2</v>
      </c>
      <c r="C966" s="7" t="str">
        <f t="shared" ref="C966:C974" si="4">"Industrial " &amp;A966&amp;" "&amp;B966</f>
        <v>Industrial Free Rent 2</v>
      </c>
    </row>
    <row r="967" spans="1:3" s="7" customFormat="1" x14ac:dyDescent="0.35">
      <c r="A967" s="7" t="s">
        <v>735</v>
      </c>
      <c r="B967" s="69">
        <f t="shared" ref="B967:B974" si="5">B966+1</f>
        <v>3</v>
      </c>
      <c r="C967" s="7" t="str">
        <f t="shared" si="4"/>
        <v>Industrial Free Rent 3</v>
      </c>
    </row>
    <row r="968" spans="1:3" s="7" customFormat="1" x14ac:dyDescent="0.35">
      <c r="A968" s="7" t="s">
        <v>735</v>
      </c>
      <c r="B968" s="69">
        <f t="shared" si="5"/>
        <v>4</v>
      </c>
      <c r="C968" s="7" t="str">
        <f t="shared" si="4"/>
        <v>Industrial Free Rent 4</v>
      </c>
    </row>
    <row r="969" spans="1:3" s="7" customFormat="1" x14ac:dyDescent="0.35">
      <c r="A969" s="7" t="s">
        <v>735</v>
      </c>
      <c r="B969" s="69">
        <f t="shared" si="5"/>
        <v>5</v>
      </c>
      <c r="C969" s="7" t="str">
        <f t="shared" si="4"/>
        <v>Industrial Free Rent 5</v>
      </c>
    </row>
    <row r="970" spans="1:3" s="7" customFormat="1" x14ac:dyDescent="0.35">
      <c r="A970" s="7" t="s">
        <v>735</v>
      </c>
      <c r="B970" s="69">
        <f t="shared" si="5"/>
        <v>6</v>
      </c>
      <c r="C970" s="7" t="str">
        <f t="shared" si="4"/>
        <v>Industrial Free Rent 6</v>
      </c>
    </row>
    <row r="971" spans="1:3" s="7" customFormat="1" x14ac:dyDescent="0.35">
      <c r="A971" s="7" t="s">
        <v>735</v>
      </c>
      <c r="B971" s="69">
        <f t="shared" si="5"/>
        <v>7</v>
      </c>
      <c r="C971" s="7" t="str">
        <f t="shared" si="4"/>
        <v>Industrial Free Rent 7</v>
      </c>
    </row>
    <row r="972" spans="1:3" s="7" customFormat="1" x14ac:dyDescent="0.35">
      <c r="A972" s="7" t="s">
        <v>735</v>
      </c>
      <c r="B972" s="69">
        <f t="shared" si="5"/>
        <v>8</v>
      </c>
      <c r="C972" s="7" t="str">
        <f t="shared" si="4"/>
        <v>Industrial Free Rent 8</v>
      </c>
    </row>
    <row r="973" spans="1:3" s="7" customFormat="1" x14ac:dyDescent="0.35">
      <c r="A973" s="7" t="s">
        <v>735</v>
      </c>
      <c r="B973" s="69">
        <f t="shared" si="5"/>
        <v>9</v>
      </c>
      <c r="C973" s="7" t="str">
        <f t="shared" si="4"/>
        <v>Industrial Free Rent 9</v>
      </c>
    </row>
    <row r="974" spans="1:3" s="7" customFormat="1" x14ac:dyDescent="0.35">
      <c r="A974" s="7" t="s">
        <v>735</v>
      </c>
      <c r="B974" s="69">
        <f t="shared" si="5"/>
        <v>10</v>
      </c>
      <c r="C974" s="7" t="str">
        <f t="shared" si="4"/>
        <v>Industrial Free Rent 10</v>
      </c>
    </row>
    <row r="975" spans="1:3" s="7" customFormat="1" x14ac:dyDescent="0.35">
      <c r="B975" s="69"/>
    </row>
    <row r="976" spans="1:3" s="7" customFormat="1" x14ac:dyDescent="0.35">
      <c r="B976" s="69"/>
    </row>
    <row r="977" spans="2:2" s="7" customFormat="1" x14ac:dyDescent="0.35">
      <c r="B977" s="69"/>
    </row>
    <row r="978" spans="2:2" s="7" customFormat="1" x14ac:dyDescent="0.35">
      <c r="B978" s="69"/>
    </row>
    <row r="979" spans="2:2" s="7" customFormat="1" x14ac:dyDescent="0.35">
      <c r="B979" s="69"/>
    </row>
    <row r="980" spans="2:2" s="7" customFormat="1" x14ac:dyDescent="0.35">
      <c r="B980" s="69"/>
    </row>
    <row r="981" spans="2:2" s="7" customFormat="1" x14ac:dyDescent="0.35">
      <c r="B981" s="69"/>
    </row>
    <row r="982" spans="2:2" s="7" customFormat="1" x14ac:dyDescent="0.35">
      <c r="B982" s="69"/>
    </row>
    <row r="983" spans="2:2" s="7" customFormat="1" x14ac:dyDescent="0.35">
      <c r="B983" s="69"/>
    </row>
    <row r="984" spans="2:2" s="7" customFormat="1" x14ac:dyDescent="0.35">
      <c r="B984" s="69"/>
    </row>
    <row r="985" spans="2:2" s="7" customFormat="1" x14ac:dyDescent="0.35">
      <c r="B985" s="69"/>
    </row>
    <row r="986" spans="2:2" s="7" customFormat="1" x14ac:dyDescent="0.35">
      <c r="B986" s="69"/>
    </row>
    <row r="987" spans="2:2" s="7" customFormat="1" x14ac:dyDescent="0.35">
      <c r="B987" s="69"/>
    </row>
    <row r="988" spans="2:2" s="7" customFormat="1" x14ac:dyDescent="0.35">
      <c r="B988" s="69"/>
    </row>
    <row r="989" spans="2:2" s="7" customFormat="1" x14ac:dyDescent="0.35">
      <c r="B989" s="69"/>
    </row>
    <row r="990" spans="2:2" s="7" customFormat="1" x14ac:dyDescent="0.35">
      <c r="B990" s="69"/>
    </row>
    <row r="991" spans="2:2" s="7" customFormat="1" x14ac:dyDescent="0.35">
      <c r="B991" s="69"/>
    </row>
    <row r="992" spans="2:2" s="7" customFormat="1" x14ac:dyDescent="0.35">
      <c r="B992" s="69"/>
    </row>
    <row r="993" spans="2:2" s="7" customFormat="1" x14ac:dyDescent="0.35">
      <c r="B993" s="69"/>
    </row>
    <row r="994" spans="2:2" s="7" customFormat="1" x14ac:dyDescent="0.35">
      <c r="B994" s="69"/>
    </row>
    <row r="995" spans="2:2" s="7" customFormat="1" x14ac:dyDescent="0.35">
      <c r="B995" s="69"/>
    </row>
    <row r="996" spans="2:2" s="7" customFormat="1" x14ac:dyDescent="0.35">
      <c r="B996" s="69"/>
    </row>
    <row r="997" spans="2:2" s="7" customFormat="1" x14ac:dyDescent="0.35">
      <c r="B997" s="69"/>
    </row>
    <row r="998" spans="2:2" s="7" customFormat="1" x14ac:dyDescent="0.35">
      <c r="B998" s="69"/>
    </row>
    <row r="999" spans="2:2" s="7" customFormat="1" x14ac:dyDescent="0.35">
      <c r="B999" s="69"/>
    </row>
    <row r="1000" spans="2:2" s="7" customFormat="1" x14ac:dyDescent="0.35">
      <c r="B1000" s="69"/>
    </row>
    <row r="1001" spans="2:2" s="7" customFormat="1" x14ac:dyDescent="0.35">
      <c r="B1001" s="69"/>
    </row>
    <row r="1002" spans="2:2" s="7" customFormat="1" x14ac:dyDescent="0.35">
      <c r="B1002" s="69"/>
    </row>
    <row r="1003" spans="2:2" s="7" customFormat="1" x14ac:dyDescent="0.35">
      <c r="B1003" s="69"/>
    </row>
    <row r="1004" spans="2:2" s="7" customFormat="1" x14ac:dyDescent="0.35">
      <c r="B1004" s="69"/>
    </row>
    <row r="1005" spans="2:2" s="7" customFormat="1" x14ac:dyDescent="0.35">
      <c r="B1005" s="69"/>
    </row>
    <row r="1006" spans="2:2" s="7" customFormat="1" x14ac:dyDescent="0.35">
      <c r="B1006" s="69"/>
    </row>
    <row r="1007" spans="2:2" s="7" customFormat="1" x14ac:dyDescent="0.35">
      <c r="B1007" s="69"/>
    </row>
    <row r="1008" spans="2:2" s="7" customFormat="1" x14ac:dyDescent="0.35">
      <c r="B1008" s="69"/>
    </row>
    <row r="1009" spans="2:2" s="7" customFormat="1" x14ac:dyDescent="0.35">
      <c r="B1009" s="69"/>
    </row>
    <row r="1010" spans="2:2" s="7" customFormat="1" x14ac:dyDescent="0.35">
      <c r="B1010" s="69"/>
    </row>
    <row r="1011" spans="2:2" s="7" customFormat="1" x14ac:dyDescent="0.35">
      <c r="B1011" s="69"/>
    </row>
    <row r="1012" spans="2:2" s="7" customFormat="1" x14ac:dyDescent="0.35">
      <c r="B1012" s="69"/>
    </row>
    <row r="1013" spans="2:2" s="7" customFormat="1" x14ac:dyDescent="0.35">
      <c r="B1013" s="69"/>
    </row>
    <row r="1014" spans="2:2" s="7" customFormat="1" x14ac:dyDescent="0.35">
      <c r="B1014" s="69"/>
    </row>
    <row r="1015" spans="2:2" s="7" customFormat="1" x14ac:dyDescent="0.35">
      <c r="B1015" s="69"/>
    </row>
    <row r="1016" spans="2:2" s="7" customFormat="1" x14ac:dyDescent="0.35">
      <c r="B1016" s="69"/>
    </row>
    <row r="1017" spans="2:2" s="7" customFormat="1" x14ac:dyDescent="0.35">
      <c r="B1017" s="69"/>
    </row>
    <row r="1018" spans="2:2" s="7" customFormat="1" x14ac:dyDescent="0.35">
      <c r="B1018" s="69"/>
    </row>
    <row r="1019" spans="2:2" s="7" customFormat="1" x14ac:dyDescent="0.35">
      <c r="B1019" s="69"/>
    </row>
    <row r="1020" spans="2:2" s="7" customFormat="1" x14ac:dyDescent="0.35">
      <c r="B1020" s="69"/>
    </row>
    <row r="1021" spans="2:2" s="7" customFormat="1" x14ac:dyDescent="0.35">
      <c r="B1021" s="69"/>
    </row>
    <row r="1022" spans="2:2" s="7" customFormat="1" x14ac:dyDescent="0.35">
      <c r="B1022" s="69"/>
    </row>
    <row r="1023" spans="2:2" s="7" customFormat="1" x14ac:dyDescent="0.35">
      <c r="B1023" s="69"/>
    </row>
    <row r="1024" spans="2:2" s="7" customFormat="1" x14ac:dyDescent="0.35">
      <c r="B1024" s="69"/>
    </row>
    <row r="1025" spans="2:2" s="7" customFormat="1" x14ac:dyDescent="0.35">
      <c r="B1025" s="69"/>
    </row>
    <row r="1026" spans="2:2" s="7" customFormat="1" x14ac:dyDescent="0.35">
      <c r="B1026" s="69"/>
    </row>
    <row r="1027" spans="2:2" s="7" customFormat="1" x14ac:dyDescent="0.35">
      <c r="B1027" s="69"/>
    </row>
    <row r="1028" spans="2:2" s="7" customFormat="1" x14ac:dyDescent="0.35">
      <c r="B1028" s="69"/>
    </row>
    <row r="1029" spans="2:2" s="7" customFormat="1" x14ac:dyDescent="0.35">
      <c r="B1029" s="69"/>
    </row>
    <row r="1030" spans="2:2" s="7" customFormat="1" x14ac:dyDescent="0.35">
      <c r="B1030" s="69"/>
    </row>
    <row r="1031" spans="2:2" s="7" customFormat="1" x14ac:dyDescent="0.35">
      <c r="B1031" s="69"/>
    </row>
    <row r="1032" spans="2:2" s="7" customFormat="1" x14ac:dyDescent="0.35">
      <c r="B1032" s="69"/>
    </row>
    <row r="1033" spans="2:2" s="7" customFormat="1" x14ac:dyDescent="0.35">
      <c r="B1033" s="69"/>
    </row>
    <row r="1034" spans="2:2" s="7" customFormat="1" x14ac:dyDescent="0.35">
      <c r="B1034" s="69"/>
    </row>
    <row r="1035" spans="2:2" s="7" customFormat="1" x14ac:dyDescent="0.35">
      <c r="B1035" s="69"/>
    </row>
    <row r="1036" spans="2:2" s="7" customFormat="1" x14ac:dyDescent="0.35">
      <c r="B1036" s="69"/>
    </row>
    <row r="1037" spans="2:2" s="7" customFormat="1" x14ac:dyDescent="0.35">
      <c r="B1037" s="69"/>
    </row>
    <row r="1038" spans="2:2" s="7" customFormat="1" x14ac:dyDescent="0.35">
      <c r="B1038" s="69"/>
    </row>
    <row r="1039" spans="2:2" s="7" customFormat="1" x14ac:dyDescent="0.35">
      <c r="B1039" s="69"/>
    </row>
    <row r="1040" spans="2:2" s="7" customFormat="1" x14ac:dyDescent="0.35">
      <c r="B1040" s="69"/>
    </row>
    <row r="1041" spans="2:2" s="7" customFormat="1" x14ac:dyDescent="0.35">
      <c r="B1041" s="69"/>
    </row>
    <row r="1042" spans="2:2" s="7" customFormat="1" x14ac:dyDescent="0.35">
      <c r="B1042" s="69"/>
    </row>
    <row r="1043" spans="2:2" s="7" customFormat="1" x14ac:dyDescent="0.35">
      <c r="B1043" s="69"/>
    </row>
    <row r="1044" spans="2:2" s="7" customFormat="1" x14ac:dyDescent="0.35">
      <c r="B1044" s="69"/>
    </row>
    <row r="1045" spans="2:2" s="7" customFormat="1" x14ac:dyDescent="0.35">
      <c r="B1045" s="69"/>
    </row>
    <row r="1046" spans="2:2" s="7" customFormat="1" x14ac:dyDescent="0.35">
      <c r="B1046" s="69"/>
    </row>
    <row r="1047" spans="2:2" s="7" customFormat="1" x14ac:dyDescent="0.35">
      <c r="B1047" s="69"/>
    </row>
    <row r="1048" spans="2:2" s="7" customFormat="1" x14ac:dyDescent="0.35">
      <c r="B1048" s="6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821F2-D165-41DE-84D5-997382FCDA8B}">
  <sheetPr codeName="Sheet9"/>
  <dimension ref="A1:L114"/>
  <sheetViews>
    <sheetView showGridLines="0" topLeftCell="A10" workbookViewId="0">
      <selection activeCell="C9" sqref="C9"/>
    </sheetView>
  </sheetViews>
  <sheetFormatPr defaultColWidth="0" defaultRowHeight="14.5" zeroHeight="1" x14ac:dyDescent="0.35"/>
  <cols>
    <col min="1" max="1" width="2.6328125" style="8" customWidth="1"/>
    <col min="2" max="2" width="4.81640625" style="13" customWidth="1"/>
    <col min="3" max="3" width="38" style="8" customWidth="1"/>
    <col min="4" max="4" width="6.08984375" style="132" customWidth="1"/>
    <col min="5" max="5" width="35.81640625" style="8" customWidth="1"/>
    <col min="6" max="6" width="6.08984375" style="132" customWidth="1"/>
    <col min="7" max="7" width="29.36328125" style="8" customWidth="1"/>
    <col min="8" max="8" width="6.08984375" style="132" customWidth="1"/>
    <col min="9" max="9" width="29.36328125" style="8" customWidth="1"/>
    <col min="10" max="10" width="6.08984375" style="132" customWidth="1"/>
    <col min="11" max="11" width="29.36328125" style="8" customWidth="1"/>
    <col min="12" max="12" width="2.6328125" style="8" customWidth="1"/>
    <col min="13" max="16384" width="8.81640625" style="8" hidden="1"/>
  </cols>
  <sheetData>
    <row r="1" spans="2:12" x14ac:dyDescent="0.35">
      <c r="B1" s="132"/>
      <c r="J1" s="179"/>
      <c r="L1" s="10"/>
    </row>
    <row r="2" spans="2:12" ht="17" x14ac:dyDescent="0.5">
      <c r="B2" s="2" t="s">
        <v>1269</v>
      </c>
      <c r="C2" s="65"/>
      <c r="D2" s="186"/>
      <c r="E2" s="2"/>
      <c r="F2" s="186"/>
      <c r="G2" s="2"/>
      <c r="H2" s="186"/>
      <c r="I2" s="2"/>
      <c r="J2" s="186"/>
      <c r="K2" s="2"/>
    </row>
    <row r="3" spans="2:12" ht="5.15" customHeight="1" x14ac:dyDescent="0.35">
      <c r="B3" s="8"/>
    </row>
    <row r="4" spans="2:12" x14ac:dyDescent="0.35">
      <c r="B4" s="13" t="s">
        <v>1270</v>
      </c>
      <c r="E4" s="13"/>
      <c r="G4" s="13"/>
      <c r="I4" s="13"/>
      <c r="K4" s="13"/>
    </row>
    <row r="5" spans="2:12" x14ac:dyDescent="0.35">
      <c r="C5" s="13"/>
      <c r="E5" s="13"/>
      <c r="G5" s="13"/>
      <c r="I5" s="13"/>
      <c r="K5" s="13"/>
    </row>
    <row r="6" spans="2:12" ht="15.5" x14ac:dyDescent="0.45">
      <c r="B6" s="24" t="s">
        <v>1040</v>
      </c>
      <c r="D6" s="17"/>
      <c r="E6" s="13"/>
      <c r="G6" s="13"/>
      <c r="I6" s="13"/>
      <c r="K6" s="13"/>
    </row>
    <row r="7" spans="2:12" ht="5.15" customHeight="1" x14ac:dyDescent="0.35">
      <c r="C7" s="13"/>
      <c r="E7" s="13"/>
      <c r="G7" s="13"/>
      <c r="I7" s="13"/>
      <c r="J7" s="13"/>
      <c r="K7" s="13"/>
      <c r="L7" s="132"/>
    </row>
    <row r="8" spans="2:12" x14ac:dyDescent="0.35">
      <c r="B8" s="181" t="s">
        <v>1041</v>
      </c>
      <c r="C8" s="18" t="s">
        <v>1042</v>
      </c>
      <c r="D8" s="181" t="s">
        <v>1043</v>
      </c>
      <c r="E8" s="68" t="s">
        <v>1044</v>
      </c>
      <c r="F8" s="181" t="s">
        <v>1045</v>
      </c>
      <c r="G8" s="19" t="s">
        <v>1046</v>
      </c>
      <c r="H8" s="181" t="s">
        <v>1047</v>
      </c>
      <c r="I8" s="19" t="s">
        <v>1048</v>
      </c>
      <c r="J8" s="13"/>
      <c r="K8" s="13"/>
    </row>
    <row r="9" spans="2:12" x14ac:dyDescent="0.35">
      <c r="B9" s="132" t="s">
        <v>754</v>
      </c>
      <c r="C9" s="192" t="s">
        <v>1049</v>
      </c>
      <c r="D9" s="132" t="s">
        <v>765</v>
      </c>
      <c r="E9" s="213" t="s">
        <v>1271</v>
      </c>
      <c r="F9" s="132" t="s">
        <v>776</v>
      </c>
      <c r="G9" s="161" t="s">
        <v>1029</v>
      </c>
      <c r="H9" s="132" t="s">
        <v>783</v>
      </c>
      <c r="I9" s="157" t="s">
        <v>820</v>
      </c>
      <c r="J9" s="13"/>
      <c r="K9" s="13"/>
    </row>
    <row r="10" spans="2:12" x14ac:dyDescent="0.35">
      <c r="B10" s="132" t="s">
        <v>756</v>
      </c>
      <c r="C10" s="192" t="s">
        <v>1049</v>
      </c>
      <c r="D10" s="132" t="s">
        <v>766</v>
      </c>
      <c r="E10" s="213" t="s">
        <v>1271</v>
      </c>
      <c r="F10" s="132" t="s">
        <v>777</v>
      </c>
      <c r="G10" s="161" t="s">
        <v>1029</v>
      </c>
      <c r="H10" s="132" t="s">
        <v>785</v>
      </c>
      <c r="I10" s="157" t="s">
        <v>820</v>
      </c>
      <c r="J10" s="13"/>
      <c r="K10" s="13"/>
    </row>
    <row r="11" spans="2:12" x14ac:dyDescent="0.35">
      <c r="B11" s="132" t="s">
        <v>757</v>
      </c>
      <c r="C11" s="192" t="s">
        <v>1049</v>
      </c>
      <c r="D11" s="132" t="s">
        <v>767</v>
      </c>
      <c r="E11" s="213" t="s">
        <v>1271</v>
      </c>
      <c r="F11" s="132" t="s">
        <v>778</v>
      </c>
      <c r="G11" s="161" t="s">
        <v>1029</v>
      </c>
      <c r="H11" s="132" t="s">
        <v>787</v>
      </c>
      <c r="I11" s="157" t="s">
        <v>820</v>
      </c>
      <c r="J11" s="13"/>
      <c r="K11" s="13"/>
    </row>
    <row r="12" spans="2:12" x14ac:dyDescent="0.35">
      <c r="B12" s="132" t="s">
        <v>759</v>
      </c>
      <c r="C12" s="192" t="s">
        <v>1049</v>
      </c>
      <c r="D12" s="132" t="s">
        <v>768</v>
      </c>
      <c r="E12" s="213" t="s">
        <v>1271</v>
      </c>
      <c r="F12" s="132" t="s">
        <v>779</v>
      </c>
      <c r="G12" s="161" t="s">
        <v>1029</v>
      </c>
      <c r="H12" s="132" t="s">
        <v>1051</v>
      </c>
      <c r="I12" s="157" t="s">
        <v>820</v>
      </c>
      <c r="J12" s="13"/>
      <c r="K12" s="13"/>
    </row>
    <row r="13" spans="2:12" x14ac:dyDescent="0.35">
      <c r="B13" s="132" t="s">
        <v>761</v>
      </c>
      <c r="C13" s="192" t="s">
        <v>1049</v>
      </c>
      <c r="D13" s="132" t="s">
        <v>769</v>
      </c>
      <c r="E13" s="213" t="s">
        <v>1271</v>
      </c>
      <c r="F13" s="132" t="s">
        <v>780</v>
      </c>
      <c r="G13" s="161" t="s">
        <v>1029</v>
      </c>
      <c r="H13" s="132" t="s">
        <v>1052</v>
      </c>
      <c r="I13" s="157" t="s">
        <v>820</v>
      </c>
      <c r="J13" s="13"/>
      <c r="K13" s="13"/>
    </row>
    <row r="14" spans="2:12" x14ac:dyDescent="0.35">
      <c r="B14" s="132" t="s">
        <v>763</v>
      </c>
      <c r="C14" s="192" t="s">
        <v>1049</v>
      </c>
      <c r="D14" s="132" t="s">
        <v>770</v>
      </c>
      <c r="E14" s="213" t="s">
        <v>1271</v>
      </c>
      <c r="F14" s="132" t="s">
        <v>781</v>
      </c>
      <c r="G14" s="161" t="s">
        <v>1029</v>
      </c>
      <c r="H14" s="132" t="s">
        <v>1053</v>
      </c>
      <c r="I14" s="157" t="s">
        <v>820</v>
      </c>
      <c r="J14" s="13"/>
      <c r="K14" s="13"/>
    </row>
    <row r="15" spans="2:12" x14ac:dyDescent="0.35">
      <c r="B15" s="132" t="s">
        <v>937</v>
      </c>
      <c r="C15" s="192" t="s">
        <v>1049</v>
      </c>
      <c r="D15" s="132" t="s">
        <v>771</v>
      </c>
      <c r="E15" s="213" t="s">
        <v>1271</v>
      </c>
      <c r="F15" s="132" t="s">
        <v>949</v>
      </c>
      <c r="G15" s="161" t="s">
        <v>1029</v>
      </c>
      <c r="H15" s="132" t="s">
        <v>1054</v>
      </c>
      <c r="I15" s="157" t="s">
        <v>820</v>
      </c>
      <c r="J15" s="13"/>
      <c r="K15" s="13"/>
    </row>
    <row r="16" spans="2:12" x14ac:dyDescent="0.35">
      <c r="B16" s="132" t="s">
        <v>939</v>
      </c>
      <c r="C16" s="192" t="s">
        <v>1049</v>
      </c>
      <c r="D16" s="132" t="s">
        <v>772</v>
      </c>
      <c r="E16" s="213" t="s">
        <v>1271</v>
      </c>
      <c r="F16" s="132" t="s">
        <v>950</v>
      </c>
      <c r="G16" s="161" t="s">
        <v>1029</v>
      </c>
      <c r="H16" s="132" t="s">
        <v>1055</v>
      </c>
      <c r="I16" s="157" t="s">
        <v>820</v>
      </c>
      <c r="J16" s="13"/>
      <c r="K16" s="13"/>
    </row>
    <row r="17" spans="2:11" x14ac:dyDescent="0.35">
      <c r="B17" s="132" t="s">
        <v>941</v>
      </c>
      <c r="C17" s="192" t="s">
        <v>1049</v>
      </c>
      <c r="D17" s="132" t="s">
        <v>773</v>
      </c>
      <c r="E17" s="213" t="s">
        <v>1271</v>
      </c>
      <c r="F17" s="132" t="s">
        <v>951</v>
      </c>
      <c r="G17" s="161" t="s">
        <v>1029</v>
      </c>
      <c r="H17" s="132" t="s">
        <v>1056</v>
      </c>
      <c r="I17" s="157" t="s">
        <v>820</v>
      </c>
      <c r="J17" s="13"/>
      <c r="K17" s="13"/>
    </row>
    <row r="18" spans="2:11" x14ac:dyDescent="0.35">
      <c r="B18" s="132" t="s">
        <v>943</v>
      </c>
      <c r="C18" s="192" t="s">
        <v>1049</v>
      </c>
      <c r="D18" s="132" t="s">
        <v>774</v>
      </c>
      <c r="E18" s="213" t="s">
        <v>1271</v>
      </c>
      <c r="F18" s="132" t="s">
        <v>953</v>
      </c>
      <c r="G18" s="161" t="s">
        <v>1029</v>
      </c>
      <c r="H18" s="132" t="s">
        <v>1057</v>
      </c>
      <c r="I18" s="157" t="s">
        <v>820</v>
      </c>
      <c r="J18" s="13"/>
      <c r="K18" s="13"/>
    </row>
    <row r="19" spans="2:11" ht="5.15" customHeight="1" x14ac:dyDescent="0.35">
      <c r="B19" s="132"/>
      <c r="C19" s="30"/>
      <c r="D19" s="132" t="s">
        <v>999</v>
      </c>
      <c r="E19" s="30"/>
      <c r="F19" s="132" t="s">
        <v>999</v>
      </c>
      <c r="G19" s="30"/>
      <c r="H19" s="182"/>
      <c r="I19" s="13"/>
      <c r="J19" s="13"/>
      <c r="K19" s="13"/>
    </row>
    <row r="20" spans="2:11" x14ac:dyDescent="0.35">
      <c r="B20" s="181" t="s">
        <v>1058</v>
      </c>
      <c r="C20" s="18" t="s">
        <v>1059</v>
      </c>
      <c r="D20" s="181" t="s">
        <v>1060</v>
      </c>
      <c r="E20" s="19" t="s">
        <v>1061</v>
      </c>
      <c r="F20" s="181" t="s">
        <v>1062</v>
      </c>
      <c r="G20" s="19" t="s">
        <v>1063</v>
      </c>
      <c r="H20" s="181" t="s">
        <v>1064</v>
      </c>
      <c r="I20" s="19" t="s">
        <v>1065</v>
      </c>
      <c r="J20" s="13"/>
      <c r="K20" s="13"/>
    </row>
    <row r="21" spans="2:11" x14ac:dyDescent="0.35">
      <c r="B21" s="132" t="s">
        <v>791</v>
      </c>
      <c r="C21" s="196" t="s">
        <v>1066</v>
      </c>
      <c r="D21" s="132" t="s">
        <v>963</v>
      </c>
      <c r="E21" s="195" t="s">
        <v>1067</v>
      </c>
      <c r="F21" s="132" t="s">
        <v>973</v>
      </c>
      <c r="G21" s="194" t="s">
        <v>900</v>
      </c>
      <c r="H21" s="132" t="s">
        <v>1006</v>
      </c>
      <c r="I21" s="193" t="s">
        <v>1068</v>
      </c>
      <c r="J21" s="13"/>
      <c r="K21" s="13"/>
    </row>
    <row r="22" spans="2:11" x14ac:dyDescent="0.35">
      <c r="B22" s="132" t="s">
        <v>793</v>
      </c>
      <c r="C22" s="196" t="s">
        <v>1066</v>
      </c>
      <c r="D22" s="132" t="s">
        <v>967</v>
      </c>
      <c r="E22" s="195" t="s">
        <v>1067</v>
      </c>
      <c r="F22" s="132" t="s">
        <v>976</v>
      </c>
      <c r="G22" s="194" t="s">
        <v>900</v>
      </c>
      <c r="H22" s="132" t="s">
        <v>1008</v>
      </c>
      <c r="I22" s="193" t="s">
        <v>1068</v>
      </c>
      <c r="J22" s="13"/>
      <c r="K22" s="13"/>
    </row>
    <row r="23" spans="2:11" x14ac:dyDescent="0.35">
      <c r="B23" s="132" t="s">
        <v>796</v>
      </c>
      <c r="C23" s="196" t="s">
        <v>1066</v>
      </c>
      <c r="D23" s="132" t="s">
        <v>965</v>
      </c>
      <c r="E23" s="195" t="s">
        <v>1067</v>
      </c>
      <c r="F23" s="132" t="s">
        <v>979</v>
      </c>
      <c r="G23" s="194" t="s">
        <v>900</v>
      </c>
      <c r="H23" s="132" t="s">
        <v>1007</v>
      </c>
      <c r="I23" s="193" t="s">
        <v>1068</v>
      </c>
      <c r="J23" s="13"/>
      <c r="K23" s="13"/>
    </row>
    <row r="24" spans="2:11" x14ac:dyDescent="0.35">
      <c r="B24" s="132" t="s">
        <v>799</v>
      </c>
      <c r="C24" s="196" t="s">
        <v>1066</v>
      </c>
      <c r="D24" s="132" t="s">
        <v>968</v>
      </c>
      <c r="E24" s="195" t="s">
        <v>1067</v>
      </c>
      <c r="F24" s="132" t="s">
        <v>982</v>
      </c>
      <c r="G24" s="194" t="s">
        <v>900</v>
      </c>
      <c r="H24" s="132" t="s">
        <v>1009</v>
      </c>
      <c r="I24" s="193" t="s">
        <v>1068</v>
      </c>
      <c r="J24" s="13"/>
      <c r="K24" s="13"/>
    </row>
    <row r="25" spans="2:11" x14ac:dyDescent="0.35">
      <c r="B25" s="132" t="s">
        <v>803</v>
      </c>
      <c r="C25" s="196" t="s">
        <v>1066</v>
      </c>
      <c r="D25" s="132" t="s">
        <v>1069</v>
      </c>
      <c r="E25" s="195" t="s">
        <v>1067</v>
      </c>
      <c r="F25" s="132" t="s">
        <v>985</v>
      </c>
      <c r="G25" s="194" t="s">
        <v>900</v>
      </c>
      <c r="H25" s="132" t="s">
        <v>1070</v>
      </c>
      <c r="I25" s="193" t="s">
        <v>1068</v>
      </c>
      <c r="J25" s="13"/>
      <c r="K25" s="13"/>
    </row>
    <row r="26" spans="2:11" x14ac:dyDescent="0.35">
      <c r="B26" s="132" t="s">
        <v>804</v>
      </c>
      <c r="C26" s="196" t="s">
        <v>1066</v>
      </c>
      <c r="D26" s="132" t="s">
        <v>1071</v>
      </c>
      <c r="E26" s="195" t="s">
        <v>1067</v>
      </c>
      <c r="F26" s="132" t="s">
        <v>988</v>
      </c>
      <c r="G26" s="194" t="s">
        <v>900</v>
      </c>
      <c r="H26" s="132" t="s">
        <v>1072</v>
      </c>
      <c r="I26" s="193" t="s">
        <v>1068</v>
      </c>
      <c r="J26" s="13"/>
      <c r="K26" s="13"/>
    </row>
    <row r="27" spans="2:11" x14ac:dyDescent="0.35">
      <c r="B27" s="132" t="s">
        <v>805</v>
      </c>
      <c r="C27" s="196" t="s">
        <v>1066</v>
      </c>
      <c r="D27" s="132" t="s">
        <v>1073</v>
      </c>
      <c r="E27" s="195" t="s">
        <v>1067</v>
      </c>
      <c r="F27" s="132" t="s">
        <v>991</v>
      </c>
      <c r="G27" s="194" t="s">
        <v>900</v>
      </c>
      <c r="H27" s="132" t="s">
        <v>1074</v>
      </c>
      <c r="I27" s="193" t="s">
        <v>1068</v>
      </c>
      <c r="J27" s="13"/>
      <c r="K27" s="13"/>
    </row>
    <row r="28" spans="2:11" x14ac:dyDescent="0.35">
      <c r="B28" s="132" t="s">
        <v>806</v>
      </c>
      <c r="C28" s="196" t="s">
        <v>1066</v>
      </c>
      <c r="D28" s="132" t="s">
        <v>1075</v>
      </c>
      <c r="E28" s="195" t="s">
        <v>1067</v>
      </c>
      <c r="F28" s="132" t="s">
        <v>994</v>
      </c>
      <c r="G28" s="194" t="s">
        <v>900</v>
      </c>
      <c r="H28" s="132" t="s">
        <v>1076</v>
      </c>
      <c r="I28" s="193" t="s">
        <v>1068</v>
      </c>
      <c r="J28" s="13"/>
      <c r="K28" s="13"/>
    </row>
    <row r="29" spans="2:11" x14ac:dyDescent="0.35">
      <c r="B29" s="132" t="s">
        <v>807</v>
      </c>
      <c r="C29" s="196" t="s">
        <v>1066</v>
      </c>
      <c r="D29" s="132" t="s">
        <v>1077</v>
      </c>
      <c r="E29" s="195" t="s">
        <v>1067</v>
      </c>
      <c r="F29" s="132" t="s">
        <v>997</v>
      </c>
      <c r="G29" s="194" t="s">
        <v>900</v>
      </c>
      <c r="H29" s="132" t="s">
        <v>1078</v>
      </c>
      <c r="I29" s="193" t="s">
        <v>1068</v>
      </c>
      <c r="J29" s="13"/>
      <c r="K29" s="13"/>
    </row>
    <row r="30" spans="2:11" x14ac:dyDescent="0.35">
      <c r="B30" s="132" t="s">
        <v>809</v>
      </c>
      <c r="C30" s="196" t="s">
        <v>1066</v>
      </c>
      <c r="D30" s="132" t="s">
        <v>1079</v>
      </c>
      <c r="E30" s="195" t="s">
        <v>1067</v>
      </c>
      <c r="F30" s="132" t="s">
        <v>974</v>
      </c>
      <c r="G30" s="194" t="s">
        <v>900</v>
      </c>
      <c r="H30" s="132" t="s">
        <v>1080</v>
      </c>
      <c r="I30" s="193" t="s">
        <v>1068</v>
      </c>
      <c r="J30" s="13"/>
      <c r="K30" s="13"/>
    </row>
    <row r="31" spans="2:11" ht="5.15" customHeight="1" x14ac:dyDescent="0.35">
      <c r="B31" s="132"/>
      <c r="C31" s="30"/>
      <c r="D31" s="182"/>
      <c r="E31" s="30"/>
      <c r="F31" s="182"/>
      <c r="G31" s="30"/>
      <c r="H31" s="182"/>
      <c r="I31" s="13"/>
      <c r="J31" s="13"/>
      <c r="K31" s="13"/>
    </row>
    <row r="32" spans="2:11" x14ac:dyDescent="0.35">
      <c r="B32" s="181" t="s">
        <v>1081</v>
      </c>
      <c r="C32" s="18" t="s">
        <v>1082</v>
      </c>
      <c r="D32" s="181" t="s">
        <v>1083</v>
      </c>
      <c r="E32" s="19" t="s">
        <v>728</v>
      </c>
      <c r="F32" s="181" t="s">
        <v>1084</v>
      </c>
      <c r="G32" s="19" t="s">
        <v>735</v>
      </c>
      <c r="H32" s="137"/>
      <c r="I32" s="13"/>
      <c r="J32" s="13"/>
      <c r="K32" s="13"/>
    </row>
    <row r="33" spans="2:11" x14ac:dyDescent="0.35">
      <c r="B33" s="132" t="s">
        <v>1011</v>
      </c>
      <c r="C33" s="197" t="s">
        <v>1085</v>
      </c>
      <c r="D33" s="137" t="s">
        <v>1086</v>
      </c>
      <c r="E33" s="198" t="s">
        <v>1087</v>
      </c>
      <c r="F33" s="137" t="s">
        <v>1088</v>
      </c>
      <c r="G33" s="176" t="s">
        <v>832</v>
      </c>
      <c r="H33" s="137"/>
      <c r="I33" s="13"/>
      <c r="J33" s="13"/>
      <c r="K33" s="13"/>
    </row>
    <row r="34" spans="2:11" x14ac:dyDescent="0.35">
      <c r="B34" s="132" t="s">
        <v>1012</v>
      </c>
      <c r="C34" s="197" t="s">
        <v>1085</v>
      </c>
      <c r="D34" s="137" t="s">
        <v>1089</v>
      </c>
      <c r="E34" s="198" t="s">
        <v>1087</v>
      </c>
      <c r="F34" s="137" t="s">
        <v>1090</v>
      </c>
      <c r="G34" s="176" t="s">
        <v>832</v>
      </c>
      <c r="H34" s="137"/>
      <c r="I34" s="13"/>
      <c r="K34" s="13"/>
    </row>
    <row r="35" spans="2:11" x14ac:dyDescent="0.35">
      <c r="B35" s="132" t="s">
        <v>1091</v>
      </c>
      <c r="C35" s="197" t="s">
        <v>1085</v>
      </c>
      <c r="D35" s="137" t="s">
        <v>1092</v>
      </c>
      <c r="E35" s="198" t="s">
        <v>1087</v>
      </c>
      <c r="F35" s="137" t="s">
        <v>1093</v>
      </c>
      <c r="G35" s="176" t="s">
        <v>832</v>
      </c>
      <c r="H35" s="137"/>
      <c r="I35" s="13"/>
      <c r="K35" s="13"/>
    </row>
    <row r="36" spans="2:11" x14ac:dyDescent="0.35">
      <c r="B36" s="132" t="s">
        <v>1094</v>
      </c>
      <c r="C36" s="197" t="s">
        <v>1085</v>
      </c>
      <c r="D36" s="137" t="s">
        <v>1095</v>
      </c>
      <c r="E36" s="198" t="s">
        <v>1087</v>
      </c>
      <c r="F36" s="137" t="s">
        <v>1096</v>
      </c>
      <c r="G36" s="176" t="s">
        <v>832</v>
      </c>
      <c r="H36" s="137"/>
      <c r="I36" s="13"/>
      <c r="K36" s="13"/>
    </row>
    <row r="37" spans="2:11" x14ac:dyDescent="0.35">
      <c r="B37" s="132" t="s">
        <v>1097</v>
      </c>
      <c r="C37" s="197" t="s">
        <v>1085</v>
      </c>
      <c r="D37" s="137" t="s">
        <v>1098</v>
      </c>
      <c r="E37" s="198" t="s">
        <v>1087</v>
      </c>
      <c r="F37" s="137" t="s">
        <v>1099</v>
      </c>
      <c r="G37" s="176" t="s">
        <v>832</v>
      </c>
      <c r="H37" s="137"/>
      <c r="I37" s="13"/>
      <c r="K37" s="13"/>
    </row>
    <row r="38" spans="2:11" x14ac:dyDescent="0.35">
      <c r="B38" s="132" t="s">
        <v>1100</v>
      </c>
      <c r="C38" s="197" t="s">
        <v>1085</v>
      </c>
      <c r="D38" s="137" t="s">
        <v>1101</v>
      </c>
      <c r="E38" s="198" t="s">
        <v>1087</v>
      </c>
      <c r="F38" s="137" t="s">
        <v>1102</v>
      </c>
      <c r="G38" s="176" t="s">
        <v>832</v>
      </c>
      <c r="H38" s="137"/>
      <c r="I38" s="13"/>
      <c r="K38" s="13"/>
    </row>
    <row r="39" spans="2:11" x14ac:dyDescent="0.35">
      <c r="B39" s="132" t="s">
        <v>1103</v>
      </c>
      <c r="C39" s="197" t="s">
        <v>1085</v>
      </c>
      <c r="D39" s="137" t="s">
        <v>1104</v>
      </c>
      <c r="E39" s="198" t="s">
        <v>1087</v>
      </c>
      <c r="F39" s="137" t="s">
        <v>1105</v>
      </c>
      <c r="G39" s="176" t="s">
        <v>832</v>
      </c>
      <c r="H39" s="137"/>
      <c r="I39" s="13"/>
      <c r="K39" s="13"/>
    </row>
    <row r="40" spans="2:11" s="10" customFormat="1" x14ac:dyDescent="0.35">
      <c r="B40" s="132" t="s">
        <v>1106</v>
      </c>
      <c r="C40" s="197" t="s">
        <v>1085</v>
      </c>
      <c r="D40" s="137" t="s">
        <v>1107</v>
      </c>
      <c r="E40" s="198" t="s">
        <v>1087</v>
      </c>
      <c r="F40" s="137" t="s">
        <v>1108</v>
      </c>
      <c r="G40" s="176" t="s">
        <v>832</v>
      </c>
      <c r="H40" s="137"/>
      <c r="I40" s="13"/>
      <c r="J40" s="132"/>
      <c r="K40" s="30"/>
    </row>
    <row r="41" spans="2:11" s="10" customFormat="1" x14ac:dyDescent="0.35">
      <c r="B41" s="132" t="s">
        <v>1109</v>
      </c>
      <c r="C41" s="197" t="s">
        <v>1085</v>
      </c>
      <c r="D41" s="137" t="s">
        <v>1110</v>
      </c>
      <c r="E41" s="198" t="s">
        <v>1087</v>
      </c>
      <c r="F41" s="137" t="s">
        <v>1111</v>
      </c>
      <c r="G41" s="176" t="s">
        <v>832</v>
      </c>
      <c r="H41" s="137"/>
      <c r="I41" s="13"/>
      <c r="J41" s="132"/>
      <c r="K41" s="30"/>
    </row>
    <row r="42" spans="2:11" s="10" customFormat="1" x14ac:dyDescent="0.35">
      <c r="B42" s="132" t="s">
        <v>1112</v>
      </c>
      <c r="C42" s="197" t="s">
        <v>1085</v>
      </c>
      <c r="D42" s="137" t="s">
        <v>1113</v>
      </c>
      <c r="E42" s="198" t="s">
        <v>1087</v>
      </c>
      <c r="F42" s="137" t="s">
        <v>1114</v>
      </c>
      <c r="G42" s="176" t="s">
        <v>832</v>
      </c>
      <c r="H42" s="137"/>
      <c r="I42" s="13"/>
      <c r="J42" s="132"/>
      <c r="K42" s="30"/>
    </row>
    <row r="43" spans="2:11" s="10" customFormat="1" x14ac:dyDescent="0.35">
      <c r="B43" s="30"/>
      <c r="C43" s="30"/>
      <c r="D43" s="182"/>
      <c r="E43" s="31"/>
      <c r="F43" s="187"/>
      <c r="G43" s="31"/>
      <c r="H43" s="187"/>
      <c r="I43" s="13"/>
      <c r="J43" s="132"/>
      <c r="K43" s="30"/>
    </row>
    <row r="44" spans="2:11" s="10" customFormat="1" ht="15.5" x14ac:dyDescent="0.45">
      <c r="B44" s="24" t="s">
        <v>1115</v>
      </c>
      <c r="D44" s="17"/>
      <c r="E44" s="24"/>
      <c r="F44" s="17"/>
      <c r="G44" s="24"/>
      <c r="H44" s="17"/>
      <c r="I44" s="24"/>
      <c r="J44" s="17"/>
      <c r="K44" s="24"/>
    </row>
    <row r="45" spans="2:11" s="10" customFormat="1" ht="5.15" customHeight="1" x14ac:dyDescent="0.35">
      <c r="B45" s="13"/>
      <c r="D45" s="132"/>
      <c r="E45" s="13"/>
      <c r="F45" s="132"/>
      <c r="G45" s="13"/>
      <c r="H45" s="132"/>
      <c r="I45" s="13"/>
      <c r="J45" s="132"/>
      <c r="K45" s="30"/>
    </row>
    <row r="46" spans="2:11" s="10" customFormat="1" x14ac:dyDescent="0.35">
      <c r="B46" s="18" t="s">
        <v>1116</v>
      </c>
      <c r="C46" s="154"/>
      <c r="D46" s="181" t="s">
        <v>1117</v>
      </c>
      <c r="E46" s="18" t="s">
        <v>1272</v>
      </c>
      <c r="F46" s="181" t="s">
        <v>1119</v>
      </c>
      <c r="G46" s="18" t="s">
        <v>1273</v>
      </c>
      <c r="H46" s="181" t="s">
        <v>1121</v>
      </c>
      <c r="I46" s="18" t="s">
        <v>1274</v>
      </c>
      <c r="J46" s="181" t="s">
        <v>1123</v>
      </c>
      <c r="K46" s="32" t="s">
        <v>1275</v>
      </c>
    </row>
    <row r="47" spans="2:11" s="10" customFormat="1" ht="5.15" customHeight="1" x14ac:dyDescent="0.35">
      <c r="B47" s="30"/>
      <c r="D47" s="182"/>
      <c r="E47" s="13"/>
      <c r="F47" s="182"/>
      <c r="G47" s="13"/>
      <c r="H47" s="182"/>
      <c r="I47" s="13"/>
      <c r="J47" s="182"/>
      <c r="K47" s="30"/>
    </row>
    <row r="48" spans="2:11" s="10" customFormat="1" x14ac:dyDescent="0.35">
      <c r="B48" s="22" t="s">
        <v>722</v>
      </c>
      <c r="D48" s="132" t="s">
        <v>1125</v>
      </c>
      <c r="E48" s="199" t="s">
        <v>1126</v>
      </c>
      <c r="F48" s="132" t="s">
        <v>1127</v>
      </c>
      <c r="G48" s="199" t="s">
        <v>1126</v>
      </c>
      <c r="H48" s="132" t="s">
        <v>1128</v>
      </c>
      <c r="I48" s="199" t="s">
        <v>1126</v>
      </c>
      <c r="J48" s="132" t="s">
        <v>1129</v>
      </c>
      <c r="K48" s="199" t="s">
        <v>1126</v>
      </c>
    </row>
    <row r="49" spans="2:11" s="10" customFormat="1" x14ac:dyDescent="0.35">
      <c r="B49" s="27" t="s">
        <v>723</v>
      </c>
      <c r="D49" s="132" t="s">
        <v>1130</v>
      </c>
      <c r="E49" s="200" t="s">
        <v>1131</v>
      </c>
      <c r="F49" s="132" t="s">
        <v>1132</v>
      </c>
      <c r="G49" s="200" t="s">
        <v>1131</v>
      </c>
      <c r="H49" s="132" t="s">
        <v>1133</v>
      </c>
      <c r="I49" s="200" t="s">
        <v>1131</v>
      </c>
      <c r="J49" s="132" t="s">
        <v>1134</v>
      </c>
      <c r="K49" s="200" t="s">
        <v>1131</v>
      </c>
    </row>
    <row r="50" spans="2:11" s="10" customFormat="1" ht="5.15" customHeight="1" x14ac:dyDescent="0.35">
      <c r="B50" s="13"/>
      <c r="D50" s="132"/>
      <c r="E50" s="30"/>
      <c r="F50" s="182"/>
      <c r="G50" s="30"/>
      <c r="H50" s="132"/>
      <c r="I50" s="30"/>
      <c r="J50" s="132"/>
      <c r="K50" s="30"/>
    </row>
    <row r="51" spans="2:11" s="10" customFormat="1" x14ac:dyDescent="0.35">
      <c r="B51" s="33" t="s">
        <v>724</v>
      </c>
      <c r="D51" s="132" t="s">
        <v>1135</v>
      </c>
      <c r="E51" s="201" t="s">
        <v>1066</v>
      </c>
      <c r="F51" s="132" t="s">
        <v>1136</v>
      </c>
      <c r="G51" s="201" t="s">
        <v>1066</v>
      </c>
      <c r="H51" s="132" t="s">
        <v>1137</v>
      </c>
      <c r="I51" s="201" t="s">
        <v>1066</v>
      </c>
      <c r="J51" s="132" t="s">
        <v>1138</v>
      </c>
      <c r="K51" s="201" t="s">
        <v>1066</v>
      </c>
    </row>
    <row r="52" spans="2:11" s="10" customFormat="1" x14ac:dyDescent="0.35">
      <c r="B52" s="33" t="s">
        <v>725</v>
      </c>
      <c r="D52" s="132" t="s">
        <v>1139</v>
      </c>
      <c r="E52" s="202" t="s">
        <v>1067</v>
      </c>
      <c r="F52" s="132" t="s">
        <v>1140</v>
      </c>
      <c r="G52" s="202" t="s">
        <v>1067</v>
      </c>
      <c r="H52" s="132" t="s">
        <v>1141</v>
      </c>
      <c r="I52" s="202" t="s">
        <v>1067</v>
      </c>
      <c r="J52" s="132" t="s">
        <v>1142</v>
      </c>
      <c r="K52" s="202" t="s">
        <v>1067</v>
      </c>
    </row>
    <row r="53" spans="2:11" s="10" customFormat="1" x14ac:dyDescent="0.35">
      <c r="B53" s="22" t="s">
        <v>726</v>
      </c>
      <c r="D53" s="132" t="s">
        <v>1143</v>
      </c>
      <c r="E53" s="203" t="s">
        <v>800</v>
      </c>
      <c r="F53" s="132" t="s">
        <v>1144</v>
      </c>
      <c r="G53" s="203" t="s">
        <v>800</v>
      </c>
      <c r="H53" s="132" t="s">
        <v>1145</v>
      </c>
      <c r="I53" s="203" t="s">
        <v>800</v>
      </c>
      <c r="J53" s="132" t="s">
        <v>1146</v>
      </c>
      <c r="K53" s="203" t="s">
        <v>800</v>
      </c>
    </row>
    <row r="54" spans="2:11" s="10" customFormat="1" x14ac:dyDescent="0.35">
      <c r="B54" s="22" t="s">
        <v>727</v>
      </c>
      <c r="D54" s="132" t="s">
        <v>1147</v>
      </c>
      <c r="E54" s="204" t="s">
        <v>832</v>
      </c>
      <c r="F54" s="132" t="s">
        <v>1148</v>
      </c>
      <c r="G54" s="204" t="s">
        <v>832</v>
      </c>
      <c r="H54" s="132" t="s">
        <v>1149</v>
      </c>
      <c r="I54" s="204" t="s">
        <v>832</v>
      </c>
      <c r="J54" s="132" t="s">
        <v>1150</v>
      </c>
      <c r="K54" s="204" t="s">
        <v>832</v>
      </c>
    </row>
    <row r="55" spans="2:11" s="10" customFormat="1" x14ac:dyDescent="0.35">
      <c r="B55" s="33" t="s">
        <v>728</v>
      </c>
      <c r="D55" s="132" t="s">
        <v>1151</v>
      </c>
      <c r="E55" s="198" t="s">
        <v>1087</v>
      </c>
      <c r="F55" s="132" t="s">
        <v>1152</v>
      </c>
      <c r="G55" s="198" t="s">
        <v>1087</v>
      </c>
      <c r="H55" s="132" t="s">
        <v>1153</v>
      </c>
      <c r="I55" s="198" t="s">
        <v>1087</v>
      </c>
      <c r="J55" s="132" t="s">
        <v>1154</v>
      </c>
      <c r="K55" s="198" t="s">
        <v>1087</v>
      </c>
    </row>
    <row r="56" spans="2:11" s="10" customFormat="1" x14ac:dyDescent="0.35">
      <c r="B56" s="33" t="s">
        <v>729</v>
      </c>
      <c r="D56" s="132" t="s">
        <v>1155</v>
      </c>
      <c r="E56" s="197" t="s">
        <v>1085</v>
      </c>
      <c r="F56" s="132" t="s">
        <v>1156</v>
      </c>
      <c r="G56" s="197" t="s">
        <v>1085</v>
      </c>
      <c r="H56" s="132" t="s">
        <v>1157</v>
      </c>
      <c r="I56" s="197" t="s">
        <v>1085</v>
      </c>
      <c r="J56" s="132" t="s">
        <v>1158</v>
      </c>
      <c r="K56" s="197" t="s">
        <v>1085</v>
      </c>
    </row>
    <row r="57" spans="2:11" s="10" customFormat="1" ht="5.15" customHeight="1" x14ac:dyDescent="0.35">
      <c r="B57" s="13"/>
      <c r="D57" s="132"/>
      <c r="E57" s="30"/>
      <c r="F57" s="182"/>
      <c r="G57" s="30"/>
      <c r="H57" s="182"/>
      <c r="I57" s="30"/>
      <c r="J57" s="182"/>
      <c r="K57" s="30"/>
    </row>
    <row r="58" spans="2:11" s="10" customFormat="1" x14ac:dyDescent="0.35">
      <c r="B58" s="27" t="s">
        <v>730</v>
      </c>
      <c r="D58" s="132" t="s">
        <v>1159</v>
      </c>
      <c r="E58" s="205" t="s">
        <v>1160</v>
      </c>
      <c r="F58" s="132" t="s">
        <v>1161</v>
      </c>
      <c r="G58" s="205" t="s">
        <v>1160</v>
      </c>
      <c r="H58" s="132" t="s">
        <v>1162</v>
      </c>
      <c r="I58" s="205" t="s">
        <v>1160</v>
      </c>
      <c r="J58" s="132" t="s">
        <v>1163</v>
      </c>
      <c r="K58" s="205" t="s">
        <v>1160</v>
      </c>
    </row>
    <row r="59" spans="2:11" s="10" customFormat="1" x14ac:dyDescent="0.35">
      <c r="B59" s="27" t="s">
        <v>731</v>
      </c>
      <c r="D59" s="132" t="s">
        <v>1164</v>
      </c>
      <c r="E59" s="205" t="s">
        <v>1160</v>
      </c>
      <c r="F59" s="132" t="s">
        <v>1165</v>
      </c>
      <c r="G59" s="205" t="s">
        <v>1160</v>
      </c>
      <c r="H59" s="132" t="s">
        <v>1166</v>
      </c>
      <c r="I59" s="205" t="s">
        <v>1160</v>
      </c>
      <c r="J59" s="132" t="s">
        <v>1167</v>
      </c>
      <c r="K59" s="205" t="s">
        <v>1160</v>
      </c>
    </row>
    <row r="60" spans="2:11" s="10" customFormat="1" ht="5.15" customHeight="1" x14ac:dyDescent="0.35">
      <c r="B60" s="13"/>
      <c r="D60" s="132"/>
      <c r="E60" s="13"/>
      <c r="F60" s="132"/>
      <c r="G60" s="13"/>
      <c r="H60" s="132"/>
      <c r="I60" s="13"/>
      <c r="J60" s="132"/>
      <c r="K60" s="13"/>
    </row>
    <row r="61" spans="2:11" s="10" customFormat="1" x14ac:dyDescent="0.35">
      <c r="B61" s="33" t="s">
        <v>732</v>
      </c>
      <c r="D61" s="132" t="s">
        <v>1168</v>
      </c>
      <c r="E61" s="206" t="s">
        <v>1169</v>
      </c>
      <c r="F61" s="132" t="s">
        <v>1170</v>
      </c>
      <c r="G61" s="206" t="s">
        <v>1169</v>
      </c>
      <c r="H61" s="132" t="s">
        <v>1171</v>
      </c>
      <c r="I61" s="206" t="s">
        <v>1169</v>
      </c>
      <c r="J61" s="132" t="s">
        <v>1172</v>
      </c>
      <c r="K61" s="206" t="s">
        <v>1169</v>
      </c>
    </row>
    <row r="62" spans="2:11" s="10" customFormat="1" x14ac:dyDescent="0.35">
      <c r="B62" s="33" t="s">
        <v>733</v>
      </c>
      <c r="D62" s="132" t="s">
        <v>1173</v>
      </c>
      <c r="E62" s="207" t="s">
        <v>1126</v>
      </c>
      <c r="F62" s="132" t="s">
        <v>1174</v>
      </c>
      <c r="G62" s="207" t="s">
        <v>1126</v>
      </c>
      <c r="H62" s="132" t="s">
        <v>1175</v>
      </c>
      <c r="I62" s="207" t="s">
        <v>1126</v>
      </c>
      <c r="J62" s="132" t="s">
        <v>1176</v>
      </c>
      <c r="K62" s="207" t="s">
        <v>1126</v>
      </c>
    </row>
    <row r="63" spans="2:11" s="10" customFormat="1" x14ac:dyDescent="0.35">
      <c r="B63" s="33" t="s">
        <v>734</v>
      </c>
      <c r="D63" s="132" t="s">
        <v>1177</v>
      </c>
      <c r="E63" s="193" t="s">
        <v>1068</v>
      </c>
      <c r="F63" s="132" t="s">
        <v>1178</v>
      </c>
      <c r="G63" s="193" t="s">
        <v>1068</v>
      </c>
      <c r="H63" s="132" t="s">
        <v>1179</v>
      </c>
      <c r="I63" s="193" t="s">
        <v>1068</v>
      </c>
      <c r="J63" s="132" t="s">
        <v>1180</v>
      </c>
      <c r="K63" s="193" t="s">
        <v>1068</v>
      </c>
    </row>
    <row r="64" spans="2:11" s="10" customFormat="1" x14ac:dyDescent="0.35">
      <c r="B64" s="30"/>
      <c r="C64" s="30"/>
      <c r="D64" s="182"/>
      <c r="E64" s="13"/>
      <c r="F64" s="132"/>
      <c r="G64" s="13"/>
      <c r="H64" s="132"/>
      <c r="I64" s="13"/>
      <c r="J64" s="132"/>
      <c r="K64" s="30"/>
    </row>
    <row r="65" spans="2:11" s="10" customFormat="1" ht="15.5" x14ac:dyDescent="0.45">
      <c r="B65" s="24" t="s">
        <v>1181</v>
      </c>
      <c r="D65" s="17"/>
      <c r="E65" s="13"/>
      <c r="F65" s="132"/>
      <c r="G65" s="13"/>
      <c r="H65" s="132"/>
      <c r="I65" s="13"/>
      <c r="J65" s="132"/>
      <c r="K65" s="30"/>
    </row>
    <row r="66" spans="2:11" s="10" customFormat="1" ht="5.15" customHeight="1" x14ac:dyDescent="0.35">
      <c r="B66" s="30"/>
      <c r="D66" s="182"/>
      <c r="E66" s="13"/>
      <c r="F66" s="132"/>
      <c r="G66" s="13"/>
      <c r="H66" s="132"/>
      <c r="I66" s="13"/>
      <c r="J66" s="132"/>
      <c r="K66" s="30"/>
    </row>
    <row r="67" spans="2:11" s="10" customFormat="1" x14ac:dyDescent="0.35">
      <c r="B67" s="18" t="s">
        <v>1182</v>
      </c>
      <c r="C67" s="154"/>
      <c r="D67" s="181"/>
      <c r="E67" s="19"/>
      <c r="F67" s="137"/>
      <c r="G67" s="13"/>
      <c r="H67" s="132"/>
      <c r="I67" s="13"/>
      <c r="J67" s="132"/>
      <c r="K67" s="30"/>
    </row>
    <row r="68" spans="2:11" s="10" customFormat="1" x14ac:dyDescent="0.35">
      <c r="B68" s="13" t="s">
        <v>401</v>
      </c>
      <c r="D68" s="137" t="s">
        <v>1183</v>
      </c>
      <c r="E68" s="208" t="s">
        <v>1184</v>
      </c>
      <c r="F68" s="137"/>
      <c r="G68" s="13"/>
      <c r="H68" s="132"/>
      <c r="I68" s="13"/>
      <c r="J68" s="132"/>
      <c r="K68" s="30"/>
    </row>
    <row r="69" spans="2:11" s="10" customFormat="1" x14ac:dyDescent="0.35">
      <c r="B69" s="13" t="s">
        <v>402</v>
      </c>
      <c r="D69" s="137" t="s">
        <v>1185</v>
      </c>
      <c r="E69" s="209" t="s">
        <v>800</v>
      </c>
      <c r="F69" s="137"/>
      <c r="G69" s="13"/>
      <c r="H69" s="132"/>
      <c r="I69" s="13"/>
      <c r="J69" s="132"/>
      <c r="K69" s="30"/>
    </row>
    <row r="70" spans="2:11" x14ac:dyDescent="0.35">
      <c r="C70" s="13"/>
      <c r="E70" s="20"/>
      <c r="F70" s="137"/>
      <c r="G70" s="20"/>
      <c r="H70" s="137"/>
      <c r="I70" s="13"/>
      <c r="K70" s="13"/>
    </row>
    <row r="71" spans="2:11" ht="15.5" x14ac:dyDescent="0.45">
      <c r="B71" s="24" t="s">
        <v>1229</v>
      </c>
      <c r="D71" s="17"/>
      <c r="E71" s="155"/>
      <c r="F71" s="180"/>
      <c r="G71" s="155"/>
      <c r="H71" s="137"/>
      <c r="I71" s="13"/>
      <c r="K71" s="13"/>
    </row>
    <row r="72" spans="2:11" ht="13.75" customHeight="1" x14ac:dyDescent="0.45">
      <c r="B72" s="11" t="s">
        <v>1187</v>
      </c>
      <c r="D72" s="17"/>
      <c r="E72" s="126"/>
      <c r="F72" s="17"/>
      <c r="G72" s="126"/>
      <c r="H72" s="17"/>
      <c r="I72" s="24"/>
      <c r="J72" s="17"/>
      <c r="K72" s="13"/>
    </row>
    <row r="73" spans="2:11" ht="5.15" customHeight="1" x14ac:dyDescent="0.35">
      <c r="E73" s="13"/>
      <c r="G73" s="13"/>
      <c r="I73" s="13"/>
      <c r="K73" s="13"/>
    </row>
    <row r="74" spans="2:11" x14ac:dyDescent="0.35">
      <c r="B74" s="18" t="s">
        <v>971</v>
      </c>
      <c r="C74" s="156"/>
      <c r="D74" s="181"/>
      <c r="E74" s="19" t="s">
        <v>1188</v>
      </c>
      <c r="F74" s="181"/>
      <c r="G74" s="19" t="s">
        <v>1189</v>
      </c>
      <c r="H74" s="137"/>
      <c r="I74" s="13"/>
      <c r="K74" s="13"/>
    </row>
    <row r="75" spans="2:11" x14ac:dyDescent="0.35">
      <c r="B75" s="34" t="s">
        <v>981</v>
      </c>
      <c r="D75" s="137" t="s">
        <v>1190</v>
      </c>
      <c r="E75" s="195" t="s">
        <v>1067</v>
      </c>
      <c r="F75" s="132" t="s">
        <v>1191</v>
      </c>
      <c r="G75" s="192" t="s">
        <v>1192</v>
      </c>
      <c r="H75" s="137"/>
      <c r="I75" s="13"/>
      <c r="K75" s="13"/>
    </row>
    <row r="76" spans="2:11" x14ac:dyDescent="0.35">
      <c r="B76" s="34" t="s">
        <v>984</v>
      </c>
      <c r="D76" s="137" t="s">
        <v>1193</v>
      </c>
      <c r="E76" s="195" t="s">
        <v>1067</v>
      </c>
      <c r="F76" s="132" t="s">
        <v>1194</v>
      </c>
      <c r="G76" s="192" t="s">
        <v>1192</v>
      </c>
      <c r="H76" s="137"/>
      <c r="I76" s="13"/>
      <c r="K76" s="13"/>
    </row>
    <row r="77" spans="2:11" x14ac:dyDescent="0.35">
      <c r="B77" s="34" t="s">
        <v>987</v>
      </c>
      <c r="D77" s="137" t="s">
        <v>1195</v>
      </c>
      <c r="E77" s="195" t="s">
        <v>1067</v>
      </c>
      <c r="F77" s="132" t="s">
        <v>1196</v>
      </c>
      <c r="G77" s="192" t="s">
        <v>1192</v>
      </c>
      <c r="H77" s="137"/>
      <c r="I77" s="13"/>
      <c r="K77" s="13"/>
    </row>
    <row r="78" spans="2:11" x14ac:dyDescent="0.35">
      <c r="B78" s="34" t="s">
        <v>990</v>
      </c>
      <c r="D78" s="137" t="s">
        <v>1197</v>
      </c>
      <c r="E78" s="195" t="s">
        <v>1067</v>
      </c>
      <c r="F78" s="132" t="s">
        <v>1198</v>
      </c>
      <c r="G78" s="192" t="s">
        <v>1192</v>
      </c>
      <c r="H78" s="137"/>
      <c r="I78" s="13"/>
      <c r="K78" s="13"/>
    </row>
    <row r="79" spans="2:11" x14ac:dyDescent="0.35">
      <c r="B79" s="35" t="s">
        <v>993</v>
      </c>
      <c r="C79" s="156"/>
      <c r="D79" s="181" t="s">
        <v>1199</v>
      </c>
      <c r="E79" s="210" t="s">
        <v>1067</v>
      </c>
      <c r="F79" s="181" t="s">
        <v>1200</v>
      </c>
      <c r="G79" s="211" t="s">
        <v>1192</v>
      </c>
      <c r="H79" s="137"/>
      <c r="I79" s="13"/>
      <c r="K79" s="13"/>
    </row>
    <row r="80" spans="2:11" x14ac:dyDescent="0.35">
      <c r="B80" s="20" t="s">
        <v>996</v>
      </c>
      <c r="D80" s="137" t="s">
        <v>1201</v>
      </c>
      <c r="E80" s="195" t="s">
        <v>1067</v>
      </c>
      <c r="F80" s="132" t="s">
        <v>1202</v>
      </c>
      <c r="G80" s="192" t="s">
        <v>1192</v>
      </c>
      <c r="H80" s="137"/>
      <c r="I80" s="13"/>
      <c r="K80" s="13"/>
    </row>
    <row r="81" spans="2:11" ht="5.15" customHeight="1" x14ac:dyDescent="0.35">
      <c r="C81" s="13"/>
      <c r="E81" s="13"/>
      <c r="G81" s="13"/>
      <c r="H81" s="137"/>
      <c r="I81" s="13"/>
      <c r="K81" s="13"/>
    </row>
    <row r="82" spans="2:11" x14ac:dyDescent="0.35">
      <c r="B82" s="18" t="s">
        <v>1000</v>
      </c>
      <c r="C82" s="156"/>
      <c r="D82" s="181"/>
      <c r="E82" s="19"/>
      <c r="F82" s="188"/>
      <c r="G82" s="13"/>
      <c r="H82" s="137"/>
      <c r="I82" s="13"/>
      <c r="K82" s="13"/>
    </row>
    <row r="83" spans="2:11" x14ac:dyDescent="0.35">
      <c r="B83" s="13" t="s">
        <v>417</v>
      </c>
      <c r="D83" s="137" t="s">
        <v>1203</v>
      </c>
      <c r="E83" s="212" t="s">
        <v>1002</v>
      </c>
      <c r="F83" s="189"/>
      <c r="G83" s="13"/>
      <c r="H83" s="137"/>
      <c r="I83" s="13"/>
      <c r="K83" s="13"/>
    </row>
    <row r="84" spans="2:11" x14ac:dyDescent="0.35">
      <c r="E84" s="13"/>
      <c r="F84" s="189"/>
      <c r="G84" s="13"/>
      <c r="H84" s="137"/>
      <c r="I84" s="13"/>
      <c r="K84" s="13"/>
    </row>
    <row r="85" spans="2:11" ht="14.5" customHeight="1" x14ac:dyDescent="0.45">
      <c r="B85" s="24" t="s">
        <v>1204</v>
      </c>
      <c r="D85" s="17"/>
      <c r="E85" s="21"/>
      <c r="F85" s="190"/>
      <c r="G85" s="21"/>
      <c r="H85" s="185"/>
      <c r="I85" s="21"/>
      <c r="J85" s="185"/>
      <c r="K85" s="13"/>
    </row>
    <row r="86" spans="2:11" ht="5.15" customHeight="1" x14ac:dyDescent="0.35">
      <c r="C86" s="13"/>
      <c r="E86" s="13"/>
      <c r="F86" s="189"/>
      <c r="G86" s="13"/>
      <c r="I86" s="13"/>
      <c r="K86" s="13"/>
    </row>
    <row r="87" spans="2:11" x14ac:dyDescent="0.35">
      <c r="B87" s="18" t="s">
        <v>1005</v>
      </c>
      <c r="C87" s="156"/>
      <c r="D87" s="181"/>
      <c r="E87" s="18"/>
      <c r="F87" s="188"/>
      <c r="G87" s="13"/>
      <c r="I87" s="13"/>
      <c r="K87" s="13"/>
    </row>
    <row r="88" spans="2:11" x14ac:dyDescent="0.35">
      <c r="B88" s="22" t="s">
        <v>418</v>
      </c>
      <c r="D88" s="137" t="s">
        <v>1205</v>
      </c>
      <c r="E88" s="212" t="s">
        <v>1002</v>
      </c>
      <c r="F88" s="188"/>
      <c r="G88" s="13"/>
      <c r="I88" s="13"/>
      <c r="K88" s="13"/>
    </row>
    <row r="89" spans="2:11" x14ac:dyDescent="0.35">
      <c r="B89" s="22" t="s">
        <v>419</v>
      </c>
      <c r="D89" s="137" t="s">
        <v>1206</v>
      </c>
      <c r="E89" s="212" t="s">
        <v>1002</v>
      </c>
      <c r="F89" s="188"/>
      <c r="G89" s="13"/>
      <c r="I89" s="13"/>
      <c r="K89" s="13"/>
    </row>
    <row r="90" spans="2:11" x14ac:dyDescent="0.35">
      <c r="E90" s="13"/>
      <c r="F90" s="188"/>
      <c r="G90" s="13"/>
      <c r="I90" s="13"/>
      <c r="K90" s="13"/>
    </row>
    <row r="91" spans="2:11" ht="15.5" x14ac:dyDescent="0.45">
      <c r="B91" s="24" t="s">
        <v>1207</v>
      </c>
      <c r="D91" s="17"/>
      <c r="E91" s="37"/>
      <c r="F91" s="188"/>
      <c r="G91" s="37"/>
      <c r="I91" s="13"/>
      <c r="K91" s="13"/>
    </row>
    <row r="92" spans="2:11" ht="5.15" customHeight="1" x14ac:dyDescent="0.35">
      <c r="E92" s="13"/>
      <c r="F92" s="188"/>
      <c r="G92" s="13"/>
      <c r="I92" s="13"/>
      <c r="K92" s="13"/>
    </row>
    <row r="93" spans="2:11" x14ac:dyDescent="0.35">
      <c r="B93" s="18" t="s">
        <v>886</v>
      </c>
      <c r="C93" s="156"/>
      <c r="D93" s="181"/>
      <c r="E93" s="19"/>
      <c r="F93" s="188"/>
      <c r="G93" s="13"/>
      <c r="I93" s="13"/>
      <c r="K93" s="13"/>
    </row>
    <row r="94" spans="2:11" x14ac:dyDescent="0.35">
      <c r="B94" s="13" t="s">
        <v>420</v>
      </c>
      <c r="D94" s="137" t="s">
        <v>1208</v>
      </c>
      <c r="E94" s="89" t="s">
        <v>800</v>
      </c>
      <c r="F94" s="188"/>
      <c r="G94" s="13"/>
      <c r="I94" s="13"/>
      <c r="K94" s="13"/>
    </row>
    <row r="95" spans="2:11" x14ac:dyDescent="0.35">
      <c r="E95" s="13"/>
      <c r="F95" s="188"/>
      <c r="G95" s="13"/>
      <c r="I95" s="13"/>
      <c r="K95" s="13"/>
    </row>
    <row r="96" spans="2:11" ht="15.5" x14ac:dyDescent="0.45">
      <c r="B96" s="24" t="s">
        <v>1209</v>
      </c>
      <c r="D96" s="17"/>
      <c r="E96" s="37"/>
      <c r="F96" s="188"/>
      <c r="G96" s="37"/>
      <c r="I96" s="13"/>
      <c r="K96" s="13"/>
    </row>
    <row r="97" spans="2:11" ht="5.15" customHeight="1" x14ac:dyDescent="0.35">
      <c r="C97" s="13"/>
      <c r="E97" s="13"/>
      <c r="F97" s="188"/>
      <c r="G97" s="13"/>
      <c r="I97" s="13"/>
      <c r="K97" s="13"/>
    </row>
    <row r="98" spans="2:11" x14ac:dyDescent="0.35">
      <c r="B98" s="18" t="s">
        <v>1023</v>
      </c>
      <c r="C98" s="156"/>
      <c r="D98" s="181"/>
      <c r="E98" s="19"/>
      <c r="F98" s="188"/>
      <c r="G98" s="13"/>
      <c r="I98" s="13"/>
      <c r="K98" s="13"/>
    </row>
    <row r="99" spans="2:11" x14ac:dyDescent="0.35">
      <c r="B99" s="13" t="s">
        <v>421</v>
      </c>
      <c r="D99" s="137" t="s">
        <v>1210</v>
      </c>
      <c r="E99" s="174" t="s">
        <v>900</v>
      </c>
      <c r="F99" s="188"/>
      <c r="G99" s="13"/>
      <c r="I99" s="13"/>
      <c r="K99" s="13"/>
    </row>
    <row r="100" spans="2:11" x14ac:dyDescent="0.35">
      <c r="E100" s="13"/>
      <c r="G100" s="13"/>
      <c r="I100" s="13"/>
      <c r="K100" s="13"/>
    </row>
    <row r="101" spans="2:11" ht="14.5" customHeight="1" x14ac:dyDescent="0.45">
      <c r="B101" s="24" t="s">
        <v>1211</v>
      </c>
      <c r="D101" s="17"/>
      <c r="E101" s="37"/>
      <c r="F101" s="184"/>
      <c r="G101" s="37"/>
      <c r="H101" s="17"/>
      <c r="I101" s="24"/>
      <c r="J101" s="17"/>
      <c r="K101" s="24"/>
    </row>
    <row r="102" spans="2:11" ht="5.15" customHeight="1" x14ac:dyDescent="0.35">
      <c r="E102" s="13"/>
      <c r="G102" s="13"/>
      <c r="I102" s="13"/>
      <c r="K102" s="13"/>
    </row>
    <row r="103" spans="2:11" x14ac:dyDescent="0.35">
      <c r="B103" s="18" t="s">
        <v>1027</v>
      </c>
      <c r="C103" s="156"/>
      <c r="D103" s="181"/>
      <c r="E103" s="19" t="s">
        <v>1212</v>
      </c>
      <c r="F103" s="181"/>
      <c r="G103" s="19" t="s">
        <v>1213</v>
      </c>
      <c r="H103" s="137"/>
      <c r="I103" s="13"/>
      <c r="K103" s="13"/>
    </row>
    <row r="104" spans="2:11" x14ac:dyDescent="0.35">
      <c r="B104" s="13" t="s">
        <v>580</v>
      </c>
      <c r="D104" s="137" t="s">
        <v>1214</v>
      </c>
      <c r="E104" s="161" t="s">
        <v>1029</v>
      </c>
      <c r="F104" s="132" t="s">
        <v>1215</v>
      </c>
      <c r="G104" s="192" t="s">
        <v>1216</v>
      </c>
      <c r="H104" s="137"/>
      <c r="I104" s="13"/>
      <c r="K104" s="13"/>
    </row>
    <row r="105" spans="2:11" x14ac:dyDescent="0.35">
      <c r="B105" s="13" t="s">
        <v>581</v>
      </c>
      <c r="D105" s="137" t="s">
        <v>1217</v>
      </c>
      <c r="E105" s="175" t="s">
        <v>1032</v>
      </c>
      <c r="F105" s="132" t="s">
        <v>1218</v>
      </c>
      <c r="G105" s="192" t="s">
        <v>1216</v>
      </c>
      <c r="H105" s="137"/>
      <c r="I105" s="13"/>
      <c r="K105" s="13"/>
    </row>
    <row r="106" spans="2:11" x14ac:dyDescent="0.35">
      <c r="B106" s="13" t="s">
        <v>582</v>
      </c>
      <c r="D106" s="137" t="s">
        <v>1219</v>
      </c>
      <c r="E106" s="175" t="s">
        <v>1032</v>
      </c>
      <c r="F106" s="132" t="s">
        <v>1220</v>
      </c>
      <c r="G106" s="192" t="s">
        <v>1216</v>
      </c>
      <c r="H106" s="137"/>
      <c r="I106" s="13"/>
      <c r="K106" s="13"/>
    </row>
    <row r="107" spans="2:11" x14ac:dyDescent="0.35">
      <c r="B107" s="13" t="s">
        <v>583</v>
      </c>
      <c r="D107" s="137" t="s">
        <v>1221</v>
      </c>
      <c r="E107" s="175" t="s">
        <v>1032</v>
      </c>
      <c r="F107" s="132" t="s">
        <v>1222</v>
      </c>
      <c r="G107" s="192" t="s">
        <v>1216</v>
      </c>
      <c r="H107" s="137"/>
      <c r="I107" s="13"/>
      <c r="K107" s="13"/>
    </row>
    <row r="108" spans="2:11" x14ac:dyDescent="0.35">
      <c r="C108" s="13"/>
      <c r="E108" s="13"/>
      <c r="G108" s="13"/>
      <c r="H108" s="137"/>
      <c r="I108" s="13"/>
      <c r="K108" s="13"/>
    </row>
    <row r="113" spans="2:5" hidden="1" x14ac:dyDescent="0.35">
      <c r="B113" s="8" t="s">
        <v>19</v>
      </c>
      <c r="E113" s="179">
        <f>(IFERROR(E48*E49,0)+IFERROR(G48*G49,0)+IFERROR(I48*I49,0)+IFERROR(K48*K49,0))+SUMIF(G9:G18,"&gt;0")</f>
        <v>0</v>
      </c>
    </row>
    <row r="114" spans="2:5" hidden="1" x14ac:dyDescent="0.35">
      <c r="B114" s="8" t="s">
        <v>18</v>
      </c>
      <c r="E114" s="179">
        <f>IFERROR(E113+SUMIF(G104,"No",E104),E113)/(1-SUMIFS(E105:E107,G105:G107,"No"))</f>
        <v>0</v>
      </c>
    </row>
  </sheetData>
  <sheetProtection sheet="1" objects="1" scenarios="1" selectLockedCells="1"/>
  <dataValidations count="8">
    <dataValidation type="list" allowBlank="1" showInputMessage="1" showErrorMessage="1" sqref="E9:E18" xr:uid="{9AAD46B7-0D0E-49DC-8B83-87949469D305}">
      <formula1>"manufacturing, warehouse/distribution, food processing/cold storage, specialty/other"</formula1>
    </dataValidation>
    <dataValidation type="list" allowBlank="1" showInputMessage="1" showErrorMessage="1" sqref="G75:G80" xr:uid="{E874CC40-65B4-4B7E-A0B3-4C8DCE6C626F}">
      <formula1>"Tenant, Landlord"</formula1>
    </dataValidation>
    <dataValidation type="list" allowBlank="1" showInputMessage="1" showErrorMessage="1" sqref="G104:G107" xr:uid="{2D3F3CD9-F8C8-4D0D-AB64-37507CECA1B0}">
      <formula1>"Yes, No"</formula1>
    </dataValidation>
    <dataValidation type="decimal" operator="lessThanOrEqual" allowBlank="1" showInputMessage="1" showErrorMessage="1" sqref="C33:C42 G21:G30 E56 G56 I56 K56 E53 G53 I53 K53 E61 G61 I61 K61 E58:E59 G58:G59 I58:I59 K58:K59 E69 E83 E88:E89 E94 E105:E107" xr:uid="{EC8C3BE1-9638-4B3B-B925-B0974EF2A630}">
      <formula1>1</formula1>
    </dataValidation>
    <dataValidation type="whole" operator="greaterThanOrEqual" allowBlank="1" showInputMessage="1" showErrorMessage="1" sqref="C21:C30 G33:G42 I21:I30 K62:K63 E48 G48 I48 K48 E51 G51 I51 K51 E54 G54 I54 K54 E62:E63 G62:G63 I62:I63" xr:uid="{F7A0D436-79D3-4DC1-99A6-F2E596EAD43E}">
      <formula1>0</formula1>
    </dataValidation>
    <dataValidation type="date" operator="greaterThanOrEqual" allowBlank="1" showInputMessage="1" showErrorMessage="1" sqref="I9:I18" xr:uid="{B0F24032-83CD-4E66-9566-4E8BC34AF558}">
      <formula1>36526</formula1>
    </dataValidation>
    <dataValidation type="decimal" operator="greaterThanOrEqual" allowBlank="1" showInputMessage="1" showErrorMessage="1" sqref="G9:G18 E21:E30 E33:E42 E55 G55 I55 K55 I49 E49 G49 K49 E52 G52 I52 K52 E68 E75:E80 E104" xr:uid="{77831186-8BA6-49BD-B093-C7F584E5E442}">
      <formula1>0</formula1>
    </dataValidation>
    <dataValidation type="decimal" allowBlank="1" showInputMessage="1" showErrorMessage="1" sqref="E99" xr:uid="{B0251BB4-AB2B-4C59-A7E4-9E8F477D852C}">
      <formula1>0.0001</formula1>
      <formula2>1</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E019-F0FA-4424-BFC9-B1C01F84A7B5}">
  <sheetPr codeName="Sheet10"/>
  <dimension ref="A1:N93"/>
  <sheetViews>
    <sheetView showGridLines="0" workbookViewId="0">
      <selection activeCell="D19" sqref="D19"/>
    </sheetView>
  </sheetViews>
  <sheetFormatPr defaultColWidth="0" defaultRowHeight="14.5" zeroHeight="1" x14ac:dyDescent="0.35"/>
  <cols>
    <col min="1" max="1" width="2.6328125" style="8" customWidth="1"/>
    <col min="2" max="2" width="35.08984375" style="8" customWidth="1"/>
    <col min="3" max="3" width="4.6328125" style="13" customWidth="1"/>
    <col min="4" max="4" width="33.6328125" style="8" customWidth="1"/>
    <col min="5" max="5" width="18.36328125" style="8" customWidth="1"/>
    <col min="6" max="6" width="2.6328125" style="8" customWidth="1"/>
    <col min="7" max="11" width="8.81640625" style="8" hidden="1" customWidth="1"/>
    <col min="12" max="14" width="0" style="8" hidden="1" customWidth="1"/>
    <col min="15" max="16384" width="8.81640625" style="8" hidden="1"/>
  </cols>
  <sheetData>
    <row r="1" spans="2:5" x14ac:dyDescent="0.35"/>
    <row r="2" spans="2:5" ht="17" x14ac:dyDescent="0.5">
      <c r="B2" s="2" t="s">
        <v>1276</v>
      </c>
      <c r="C2" s="14"/>
      <c r="D2" s="2"/>
      <c r="E2" s="2"/>
    </row>
    <row r="3" spans="2:5" ht="5.15" customHeight="1" x14ac:dyDescent="0.35"/>
    <row r="4" spans="2:5" x14ac:dyDescent="0.35">
      <c r="B4" s="13" t="s">
        <v>1277</v>
      </c>
      <c r="D4" s="13"/>
    </row>
    <row r="5" spans="2:5" x14ac:dyDescent="0.35">
      <c r="B5" s="13"/>
      <c r="D5" s="13"/>
    </row>
    <row r="6" spans="2:5" ht="15.5" x14ac:dyDescent="0.45">
      <c r="B6" s="24" t="s">
        <v>1278</v>
      </c>
      <c r="C6" s="11"/>
      <c r="D6" s="13"/>
    </row>
    <row r="7" spans="2:5" ht="5.15" customHeight="1" x14ac:dyDescent="0.35">
      <c r="B7" s="13"/>
      <c r="D7" s="13"/>
    </row>
    <row r="8" spans="2:5" x14ac:dyDescent="0.35">
      <c r="B8" s="18" t="s">
        <v>1279</v>
      </c>
      <c r="C8" s="18"/>
      <c r="D8" s="18"/>
    </row>
    <row r="9" spans="2:5" x14ac:dyDescent="0.35">
      <c r="B9" s="20" t="s">
        <v>30</v>
      </c>
      <c r="C9" s="50" t="s">
        <v>754</v>
      </c>
      <c r="D9" s="235" t="s">
        <v>1280</v>
      </c>
    </row>
    <row r="10" spans="2:5" x14ac:dyDescent="0.35">
      <c r="B10" s="20" t="s">
        <v>31</v>
      </c>
      <c r="C10" s="50" t="s">
        <v>756</v>
      </c>
      <c r="D10" s="235" t="s">
        <v>1280</v>
      </c>
    </row>
    <row r="11" spans="2:5" x14ac:dyDescent="0.35">
      <c r="B11" s="20" t="s">
        <v>32</v>
      </c>
      <c r="C11" s="50" t="s">
        <v>757</v>
      </c>
      <c r="D11" s="235" t="s">
        <v>1280</v>
      </c>
    </row>
    <row r="12" spans="2:5" x14ac:dyDescent="0.35">
      <c r="B12" s="20" t="s">
        <v>33</v>
      </c>
      <c r="C12" s="50" t="s">
        <v>759</v>
      </c>
      <c r="D12" s="235" t="s">
        <v>1280</v>
      </c>
    </row>
    <row r="13" spans="2:5" x14ac:dyDescent="0.35">
      <c r="B13" s="20" t="s">
        <v>34</v>
      </c>
      <c r="C13" s="50" t="s">
        <v>761</v>
      </c>
      <c r="D13" s="235" t="s">
        <v>1280</v>
      </c>
    </row>
    <row r="14" spans="2:5" s="10" customFormat="1" x14ac:dyDescent="0.35">
      <c r="B14" s="36" t="s">
        <v>35</v>
      </c>
      <c r="C14" s="50" t="s">
        <v>763</v>
      </c>
      <c r="D14" s="235" t="s">
        <v>1280</v>
      </c>
      <c r="E14" s="8"/>
    </row>
    <row r="15" spans="2:5" s="10" customFormat="1" x14ac:dyDescent="0.35">
      <c r="B15" s="30"/>
      <c r="C15" s="30"/>
      <c r="D15" s="30"/>
    </row>
    <row r="16" spans="2:5" s="10" customFormat="1" ht="15.5" x14ac:dyDescent="0.45">
      <c r="B16" s="24" t="s">
        <v>1281</v>
      </c>
      <c r="C16" s="30"/>
      <c r="D16" s="30"/>
    </row>
    <row r="17" spans="2:5" s="10" customFormat="1" ht="5.15" customHeight="1" x14ac:dyDescent="0.35">
      <c r="B17" s="30"/>
      <c r="C17" s="30"/>
      <c r="D17" s="30"/>
    </row>
    <row r="18" spans="2:5" s="10" customFormat="1" x14ac:dyDescent="0.35">
      <c r="B18" s="30" t="s">
        <v>720</v>
      </c>
      <c r="C18" s="30" t="s">
        <v>765</v>
      </c>
      <c r="D18" s="163" t="s">
        <v>1029</v>
      </c>
    </row>
    <row r="19" spans="2:5" s="10" customFormat="1" x14ac:dyDescent="0.35">
      <c r="B19" s="30" t="s">
        <v>721</v>
      </c>
      <c r="C19" s="30" t="s">
        <v>766</v>
      </c>
      <c r="D19" s="174" t="s">
        <v>900</v>
      </c>
    </row>
    <row r="20" spans="2:5" s="10" customFormat="1" x14ac:dyDescent="0.35">
      <c r="B20" s="30"/>
      <c r="C20" s="30"/>
      <c r="D20" s="30"/>
    </row>
    <row r="21" spans="2:5" s="10" customFormat="1" ht="15.5" x14ac:dyDescent="0.45">
      <c r="B21" s="24" t="s">
        <v>1282</v>
      </c>
      <c r="C21" s="11"/>
      <c r="D21" s="13"/>
      <c r="E21" s="3"/>
    </row>
    <row r="22" spans="2:5" s="10" customFormat="1" ht="5.15" customHeight="1" x14ac:dyDescent="0.35">
      <c r="B22" s="13"/>
      <c r="C22" s="13"/>
      <c r="D22" s="13"/>
      <c r="E22" s="3"/>
    </row>
    <row r="23" spans="2:5" s="10" customFormat="1" x14ac:dyDescent="0.35">
      <c r="B23" s="18" t="s">
        <v>1279</v>
      </c>
      <c r="C23" s="18"/>
      <c r="D23" s="18"/>
      <c r="E23" s="3"/>
    </row>
    <row r="24" spans="2:5" s="10" customFormat="1" x14ac:dyDescent="0.35">
      <c r="B24" s="20" t="s">
        <v>30</v>
      </c>
      <c r="C24" s="50" t="s">
        <v>776</v>
      </c>
      <c r="D24" s="166" t="s">
        <v>1283</v>
      </c>
      <c r="E24" s="3"/>
    </row>
    <row r="25" spans="2:5" s="10" customFormat="1" x14ac:dyDescent="0.35">
      <c r="B25" s="20" t="s">
        <v>31</v>
      </c>
      <c r="C25" s="50" t="s">
        <v>777</v>
      </c>
      <c r="D25" s="166" t="s">
        <v>1283</v>
      </c>
      <c r="E25" s="3"/>
    </row>
    <row r="26" spans="2:5" s="10" customFormat="1" x14ac:dyDescent="0.35">
      <c r="B26" s="20" t="s">
        <v>32</v>
      </c>
      <c r="C26" s="50" t="s">
        <v>778</v>
      </c>
      <c r="D26" s="166" t="s">
        <v>1283</v>
      </c>
      <c r="E26" s="3"/>
    </row>
    <row r="27" spans="2:5" s="10" customFormat="1" x14ac:dyDescent="0.35">
      <c r="B27" s="20" t="s">
        <v>33</v>
      </c>
      <c r="C27" s="50" t="s">
        <v>779</v>
      </c>
      <c r="D27" s="166" t="s">
        <v>1283</v>
      </c>
      <c r="E27" s="3"/>
    </row>
    <row r="28" spans="2:5" x14ac:dyDescent="0.35">
      <c r="B28" s="20" t="s">
        <v>34</v>
      </c>
      <c r="C28" s="50" t="s">
        <v>780</v>
      </c>
      <c r="D28" s="166" t="s">
        <v>1283</v>
      </c>
    </row>
    <row r="29" spans="2:5" x14ac:dyDescent="0.35">
      <c r="B29" s="13"/>
      <c r="D29" s="13"/>
    </row>
    <row r="30" spans="2:5" ht="15.5" x14ac:dyDescent="0.45">
      <c r="B30" s="24" t="s">
        <v>1284</v>
      </c>
      <c r="C30" s="11"/>
      <c r="D30" s="13"/>
    </row>
    <row r="31" spans="2:5" ht="5.15" customHeight="1" x14ac:dyDescent="0.35">
      <c r="B31" s="13"/>
      <c r="D31" s="13"/>
    </row>
    <row r="32" spans="2:5" x14ac:dyDescent="0.35">
      <c r="B32" s="18" t="s">
        <v>1279</v>
      </c>
      <c r="C32" s="18"/>
      <c r="D32" s="18"/>
    </row>
    <row r="33" spans="2:4" x14ac:dyDescent="0.35">
      <c r="B33" s="20" t="s">
        <v>30</v>
      </c>
      <c r="C33" s="50" t="s">
        <v>783</v>
      </c>
      <c r="D33" s="89" t="s">
        <v>800</v>
      </c>
    </row>
    <row r="34" spans="2:4" x14ac:dyDescent="0.35">
      <c r="B34" s="20" t="s">
        <v>31</v>
      </c>
      <c r="C34" s="50" t="s">
        <v>785</v>
      </c>
      <c r="D34" s="89" t="s">
        <v>800</v>
      </c>
    </row>
    <row r="35" spans="2:4" x14ac:dyDescent="0.35">
      <c r="B35" s="20" t="s">
        <v>32</v>
      </c>
      <c r="C35" s="50" t="s">
        <v>787</v>
      </c>
      <c r="D35" s="89" t="s">
        <v>800</v>
      </c>
    </row>
    <row r="36" spans="2:4" x14ac:dyDescent="0.35">
      <c r="B36" s="20" t="s">
        <v>33</v>
      </c>
      <c r="C36" s="50" t="s">
        <v>1051</v>
      </c>
      <c r="D36" s="89" t="s">
        <v>800</v>
      </c>
    </row>
    <row r="37" spans="2:4" x14ac:dyDescent="0.35">
      <c r="B37" s="20" t="s">
        <v>34</v>
      </c>
      <c r="C37" s="50" t="s">
        <v>1052</v>
      </c>
      <c r="D37" s="89" t="s">
        <v>800</v>
      </c>
    </row>
    <row r="38" spans="2:4" x14ac:dyDescent="0.35">
      <c r="B38" s="36" t="s">
        <v>35</v>
      </c>
      <c r="C38" s="50" t="s">
        <v>1053</v>
      </c>
      <c r="D38" s="89" t="s">
        <v>800</v>
      </c>
    </row>
    <row r="39" spans="2:4" x14ac:dyDescent="0.35">
      <c r="B39" s="13"/>
      <c r="D39" s="13"/>
    </row>
    <row r="40" spans="2:4" ht="15.5" x14ac:dyDescent="0.45">
      <c r="B40" s="24" t="s">
        <v>1285</v>
      </c>
      <c r="C40" s="11"/>
      <c r="D40" s="13"/>
    </row>
    <row r="41" spans="2:4" ht="5.15" customHeight="1" x14ac:dyDescent="0.35">
      <c r="B41" s="13"/>
      <c r="D41" s="13"/>
    </row>
    <row r="42" spans="2:4" x14ac:dyDescent="0.35">
      <c r="B42" s="13" t="s">
        <v>712</v>
      </c>
      <c r="C42" s="50" t="s">
        <v>791</v>
      </c>
      <c r="D42" s="236" t="s">
        <v>1286</v>
      </c>
    </row>
    <row r="43" spans="2:4" x14ac:dyDescent="0.35">
      <c r="B43" s="13" t="s">
        <v>713</v>
      </c>
      <c r="C43" s="50" t="s">
        <v>793</v>
      </c>
      <c r="D43" s="237" t="s">
        <v>1287</v>
      </c>
    </row>
    <row r="44" spans="2:4" x14ac:dyDescent="0.35">
      <c r="B44" s="13" t="s">
        <v>714</v>
      </c>
      <c r="C44" s="50" t="s">
        <v>796</v>
      </c>
      <c r="D44" s="238" t="s">
        <v>1288</v>
      </c>
    </row>
    <row r="45" spans="2:4" x14ac:dyDescent="0.35">
      <c r="B45" s="13" t="s">
        <v>715</v>
      </c>
      <c r="C45" s="50" t="s">
        <v>799</v>
      </c>
      <c r="D45" s="239" t="s">
        <v>1289</v>
      </c>
    </row>
    <row r="46" spans="2:4" x14ac:dyDescent="0.35">
      <c r="B46" s="13" t="s">
        <v>716</v>
      </c>
      <c r="C46" s="50" t="s">
        <v>803</v>
      </c>
      <c r="D46" s="239" t="s">
        <v>1289</v>
      </c>
    </row>
    <row r="47" spans="2:4" x14ac:dyDescent="0.35">
      <c r="B47" s="13" t="s">
        <v>579</v>
      </c>
      <c r="C47" s="50" t="s">
        <v>804</v>
      </c>
      <c r="D47" s="87" t="s">
        <v>832</v>
      </c>
    </row>
    <row r="48" spans="2:4" x14ac:dyDescent="0.35">
      <c r="B48" s="13"/>
      <c r="D48" s="13"/>
    </row>
    <row r="49" spans="2:4" ht="15.5" x14ac:dyDescent="0.45">
      <c r="B49" s="24" t="s">
        <v>1290</v>
      </c>
      <c r="C49" s="11"/>
      <c r="D49" s="13"/>
    </row>
    <row r="50" spans="2:4" ht="5.15" customHeight="1" x14ac:dyDescent="0.35">
      <c r="B50" s="13"/>
      <c r="D50" s="13"/>
    </row>
    <row r="51" spans="2:4" x14ac:dyDescent="0.35">
      <c r="B51" s="13" t="s">
        <v>717</v>
      </c>
      <c r="C51" s="50" t="s">
        <v>963</v>
      </c>
      <c r="D51" s="166" t="s">
        <v>1283</v>
      </c>
    </row>
    <row r="52" spans="2:4" x14ac:dyDescent="0.35">
      <c r="B52" s="13" t="s">
        <v>718</v>
      </c>
      <c r="C52" s="50" t="s">
        <v>967</v>
      </c>
      <c r="D52" s="240" t="s">
        <v>1291</v>
      </c>
    </row>
    <row r="53" spans="2:4" x14ac:dyDescent="0.35">
      <c r="B53" s="13" t="s">
        <v>719</v>
      </c>
      <c r="C53" s="50" t="s">
        <v>965</v>
      </c>
      <c r="D53" s="87" t="s">
        <v>832</v>
      </c>
    </row>
    <row r="54" spans="2:4" x14ac:dyDescent="0.35">
      <c r="B54" s="13"/>
      <c r="D54" s="13"/>
    </row>
    <row r="55" spans="2:4" ht="15.5" x14ac:dyDescent="0.45">
      <c r="B55" s="24" t="s">
        <v>1292</v>
      </c>
      <c r="D55" s="13"/>
    </row>
    <row r="56" spans="2:4" ht="5.5" customHeight="1" x14ac:dyDescent="0.35">
      <c r="B56" s="13"/>
      <c r="D56" s="13"/>
    </row>
    <row r="57" spans="2:4" x14ac:dyDescent="0.35">
      <c r="B57" s="13" t="s">
        <v>417</v>
      </c>
      <c r="C57" s="50" t="s">
        <v>973</v>
      </c>
      <c r="D57" s="212" t="s">
        <v>1002</v>
      </c>
    </row>
    <row r="58" spans="2:4" x14ac:dyDescent="0.35">
      <c r="B58" s="13" t="s">
        <v>418</v>
      </c>
      <c r="C58" s="50" t="s">
        <v>976</v>
      </c>
      <c r="D58" s="212" t="s">
        <v>1002</v>
      </c>
    </row>
    <row r="59" spans="2:4" x14ac:dyDescent="0.35">
      <c r="B59" s="13" t="s">
        <v>419</v>
      </c>
      <c r="C59" s="50" t="s">
        <v>979</v>
      </c>
      <c r="D59" s="212" t="s">
        <v>1002</v>
      </c>
    </row>
    <row r="60" spans="2:4" x14ac:dyDescent="0.35">
      <c r="D60" s="13"/>
    </row>
    <row r="61" spans="2:4" ht="15.5" x14ac:dyDescent="0.45">
      <c r="B61" s="24" t="s">
        <v>1293</v>
      </c>
      <c r="C61" s="67"/>
      <c r="D61" s="13"/>
    </row>
    <row r="62" spans="2:4" ht="5.5" customHeight="1" x14ac:dyDescent="0.35">
      <c r="B62" s="13"/>
      <c r="C62" s="47"/>
      <c r="D62" s="13"/>
    </row>
    <row r="63" spans="2:4" x14ac:dyDescent="0.35">
      <c r="B63" s="18" t="s">
        <v>1023</v>
      </c>
      <c r="C63" s="49"/>
      <c r="D63" s="19"/>
    </row>
    <row r="64" spans="2:4" x14ac:dyDescent="0.35">
      <c r="B64" s="13" t="s">
        <v>421</v>
      </c>
      <c r="C64" s="50" t="s">
        <v>1006</v>
      </c>
      <c r="D64" s="174" t="s">
        <v>900</v>
      </c>
    </row>
    <row r="65" spans="2:4" x14ac:dyDescent="0.35">
      <c r="B65" s="13"/>
      <c r="D65" s="13"/>
    </row>
    <row r="66" spans="2:4" hidden="1" x14ac:dyDescent="0.35">
      <c r="B66" s="13"/>
      <c r="D66" s="13"/>
    </row>
    <row r="67" spans="2:4" hidden="1" x14ac:dyDescent="0.35">
      <c r="B67" s="8" t="s">
        <v>19</v>
      </c>
      <c r="C67" s="46"/>
      <c r="D67" s="8">
        <f>IFERROR(SUMIF(D9:D14,"&gt;0")*D18,0)</f>
        <v>0</v>
      </c>
    </row>
    <row r="68" spans="2:4" hidden="1" x14ac:dyDescent="0.35">
      <c r="B68" s="8" t="s">
        <v>18</v>
      </c>
      <c r="C68" s="46"/>
      <c r="D68" s="8">
        <f>IFERROR(D67/(1-$D$19),D67)</f>
        <v>0</v>
      </c>
    </row>
    <row r="69" spans="2:4" hidden="1" x14ac:dyDescent="0.35">
      <c r="B69" s="13"/>
      <c r="D69" s="13"/>
    </row>
    <row r="70" spans="2:4" hidden="1" x14ac:dyDescent="0.35">
      <c r="B70" s="13"/>
      <c r="D70" s="13"/>
    </row>
    <row r="71" spans="2:4" hidden="1" x14ac:dyDescent="0.35">
      <c r="B71" s="13"/>
      <c r="D71" s="13"/>
    </row>
    <row r="72" spans="2:4" hidden="1" x14ac:dyDescent="0.35">
      <c r="B72" s="13"/>
      <c r="D72" s="13"/>
    </row>
    <row r="73" spans="2:4" hidden="1" x14ac:dyDescent="0.35">
      <c r="B73" s="13"/>
      <c r="D73" s="13"/>
    </row>
    <row r="74" spans="2:4" hidden="1" x14ac:dyDescent="0.35">
      <c r="B74" s="13"/>
      <c r="D74" s="13"/>
    </row>
    <row r="75" spans="2:4" hidden="1" x14ac:dyDescent="0.35">
      <c r="B75" s="13"/>
      <c r="D75" s="13"/>
    </row>
    <row r="76" spans="2:4" hidden="1" x14ac:dyDescent="0.35">
      <c r="B76" s="13"/>
      <c r="D76" s="13"/>
    </row>
    <row r="77" spans="2:4" hidden="1" x14ac:dyDescent="0.35">
      <c r="B77" s="13"/>
      <c r="D77" s="13"/>
    </row>
    <row r="78" spans="2:4" hidden="1" x14ac:dyDescent="0.35">
      <c r="B78" s="13"/>
      <c r="D78" s="13"/>
    </row>
    <row r="79" spans="2:4" hidden="1" x14ac:dyDescent="0.35">
      <c r="B79" s="13"/>
      <c r="D79" s="13"/>
    </row>
    <row r="80" spans="2:4" hidden="1" x14ac:dyDescent="0.35">
      <c r="B80" s="13"/>
      <c r="D80" s="13"/>
    </row>
    <row r="81" spans="2:4" hidden="1" x14ac:dyDescent="0.35">
      <c r="B81" s="13"/>
      <c r="D81" s="13"/>
    </row>
    <row r="82" spans="2:4" hidden="1" x14ac:dyDescent="0.35">
      <c r="B82" s="13"/>
      <c r="D82" s="13"/>
    </row>
    <row r="83" spans="2:4" hidden="1" x14ac:dyDescent="0.35">
      <c r="B83" s="13"/>
      <c r="D83" s="13"/>
    </row>
    <row r="84" spans="2:4" hidden="1" x14ac:dyDescent="0.35">
      <c r="B84" s="13"/>
      <c r="D84" s="13"/>
    </row>
    <row r="85" spans="2:4" hidden="1" x14ac:dyDescent="0.35">
      <c r="B85" s="13"/>
      <c r="D85" s="13"/>
    </row>
    <row r="86" spans="2:4" hidden="1" x14ac:dyDescent="0.35">
      <c r="B86" s="13"/>
      <c r="D86" s="13"/>
    </row>
    <row r="87" spans="2:4" hidden="1" x14ac:dyDescent="0.35">
      <c r="B87" s="13"/>
      <c r="D87" s="13"/>
    </row>
    <row r="88" spans="2:4" hidden="1" x14ac:dyDescent="0.35">
      <c r="B88" s="13"/>
      <c r="D88" s="13"/>
    </row>
    <row r="89" spans="2:4" hidden="1" x14ac:dyDescent="0.35">
      <c r="B89" s="13"/>
      <c r="D89" s="13"/>
    </row>
    <row r="90" spans="2:4" hidden="1" x14ac:dyDescent="0.35">
      <c r="B90" s="13"/>
      <c r="D90" s="13"/>
    </row>
    <row r="91" spans="2:4" hidden="1" x14ac:dyDescent="0.35">
      <c r="B91" s="13"/>
      <c r="D91" s="13"/>
    </row>
    <row r="92" spans="2:4" hidden="1" x14ac:dyDescent="0.35">
      <c r="B92" s="13"/>
      <c r="D92" s="13"/>
    </row>
    <row r="93" spans="2:4" hidden="1" x14ac:dyDescent="0.35">
      <c r="B93" s="13"/>
      <c r="D93" s="13"/>
    </row>
  </sheetData>
  <sheetProtection sheet="1" objects="1" scenarios="1" selectLockedCells="1"/>
  <dataValidations count="5">
    <dataValidation type="whole" operator="greaterThanOrEqual" allowBlank="1" showInputMessage="1" showErrorMessage="1" sqref="D9:D14" xr:uid="{4CD069B5-0F59-4791-8B14-17729DBD7AB7}">
      <formula1>0</formula1>
    </dataValidation>
    <dataValidation type="decimal" operator="lessThanOrEqual" allowBlank="1" showInputMessage="1" showErrorMessage="1" sqref="D33:D38 D57:D59" xr:uid="{84B81D4F-DB88-4897-9318-B26C77C34DDA}">
      <formula1>1</formula1>
    </dataValidation>
    <dataValidation type="decimal" operator="greaterThanOrEqual" allowBlank="1" showInputMessage="1" showErrorMessage="1" sqref="D24:D28 D43:D44 D51 D18" xr:uid="{9E7E640C-1650-4522-9CD0-2C8CB18763C4}">
      <formula1>0</formula1>
    </dataValidation>
    <dataValidation type="decimal" allowBlank="1" showInputMessage="1" showErrorMessage="1" sqref="D64 D19" xr:uid="{002692C5-C1B6-4E9E-8D7F-EF4FF569B751}">
      <formula1>0.0001</formula1>
      <formula2>1</formula2>
    </dataValidation>
    <dataValidation type="decimal" allowBlank="1" showInputMessage="1" showErrorMessage="1" sqref="D42" xr:uid="{9FF49DC7-2953-4E8B-A3E5-2DEDC8D5D2D8}">
      <formula1>0</formula1>
      <formula2>1</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9849-21F3-4D60-92C6-916B9315F240}">
  <sheetPr>
    <pageSetUpPr autoPageBreaks="0"/>
  </sheetPr>
  <dimension ref="A1:G246"/>
  <sheetViews>
    <sheetView showGridLines="0" tabSelected="1" zoomScaleNormal="100" workbookViewId="0">
      <selection activeCell="D10" sqref="D10"/>
    </sheetView>
  </sheetViews>
  <sheetFormatPr defaultColWidth="0" defaultRowHeight="14.5" zeroHeight="1" x14ac:dyDescent="0.35"/>
  <cols>
    <col min="1" max="1" width="2.7265625" style="7" customWidth="1"/>
    <col min="2" max="2" width="125.7265625" style="124" customWidth="1"/>
    <col min="3" max="3" width="2.7265625" customWidth="1"/>
    <col min="4" max="4" width="125.7265625" customWidth="1"/>
    <col min="5" max="5" width="2.7265625" customWidth="1"/>
    <col min="6" max="6" width="125.7265625" customWidth="1"/>
    <col min="7" max="7" width="2.7265625" customWidth="1"/>
    <col min="8" max="16384" width="9.08984375" hidden="1"/>
  </cols>
  <sheetData>
    <row r="1" spans="1:6" s="7" customFormat="1" x14ac:dyDescent="0.35">
      <c r="B1" s="124"/>
    </row>
    <row r="2" spans="1:6" s="7" customFormat="1" ht="18" x14ac:dyDescent="0.35">
      <c r="B2" s="344" t="s">
        <v>736</v>
      </c>
    </row>
    <row r="3" spans="1:6" s="242" customFormat="1" ht="40.5" customHeight="1" x14ac:dyDescent="0.35">
      <c r="B3" s="359" t="s">
        <v>737</v>
      </c>
    </row>
    <row r="4" spans="1:6" s="332" customFormat="1" ht="20.149999999999999" customHeight="1" x14ac:dyDescent="0.35">
      <c r="A4" s="338"/>
      <c r="B4" s="333" t="s">
        <v>738</v>
      </c>
      <c r="C4" s="338"/>
    </row>
    <row r="5" spans="1:6" s="332" customFormat="1" ht="20.149999999999999" customHeight="1" x14ac:dyDescent="0.35">
      <c r="A5" s="338"/>
      <c r="B5" s="334" t="s">
        <v>739</v>
      </c>
      <c r="C5" s="338"/>
    </row>
    <row r="6" spans="1:6" s="332" customFormat="1" ht="20.149999999999999" customHeight="1" x14ac:dyDescent="0.35">
      <c r="A6" s="338"/>
      <c r="B6" s="335" t="s">
        <v>740</v>
      </c>
      <c r="C6" s="338"/>
    </row>
    <row r="7" spans="1:6" ht="15" customHeight="1" x14ac:dyDescent="0.35">
      <c r="A7" s="337"/>
      <c r="B7" s="343"/>
      <c r="C7" s="337"/>
      <c r="D7" s="7"/>
      <c r="E7" s="7"/>
      <c r="F7" s="7"/>
    </row>
    <row r="8" spans="1:6" ht="18.75" customHeight="1" x14ac:dyDescent="0.35">
      <c r="A8" s="337"/>
      <c r="B8" s="349" t="s">
        <v>741</v>
      </c>
      <c r="C8" s="337"/>
      <c r="D8" s="349" t="s">
        <v>742</v>
      </c>
      <c r="E8" s="7"/>
      <c r="F8" s="350" t="s">
        <v>743</v>
      </c>
    </row>
    <row r="9" spans="1:6" s="353" customFormat="1" ht="230.15" customHeight="1" x14ac:dyDescent="0.35">
      <c r="A9" s="352"/>
      <c r="B9" s="357" t="s">
        <v>744</v>
      </c>
      <c r="C9" s="352"/>
      <c r="D9" s="355" t="s">
        <v>745</v>
      </c>
      <c r="F9" s="355" t="s">
        <v>746</v>
      </c>
    </row>
    <row r="10" spans="1:6" ht="170.15" customHeight="1" x14ac:dyDescent="0.35">
      <c r="A10" s="337"/>
      <c r="B10" s="354" t="s">
        <v>747</v>
      </c>
      <c r="C10" s="337"/>
      <c r="D10" s="354" t="s">
        <v>748</v>
      </c>
      <c r="E10" s="7"/>
      <c r="F10" s="356" t="s">
        <v>749</v>
      </c>
    </row>
    <row r="11" spans="1:6" ht="170.15" customHeight="1" x14ac:dyDescent="0.35">
      <c r="A11" s="337"/>
      <c r="B11" s="339"/>
      <c r="C11" s="337"/>
      <c r="D11" s="358"/>
      <c r="E11" s="7"/>
      <c r="F11" s="340"/>
    </row>
    <row r="12" spans="1:6" ht="15" customHeight="1" x14ac:dyDescent="0.35">
      <c r="A12" s="337"/>
      <c r="B12" s="339"/>
      <c r="C12" s="337"/>
      <c r="D12" s="7"/>
      <c r="E12" s="7"/>
      <c r="F12" s="340"/>
    </row>
    <row r="13" spans="1:6" ht="15" hidden="1" customHeight="1" x14ac:dyDescent="0.35">
      <c r="A13" s="337"/>
      <c r="B13" s="339"/>
      <c r="C13" s="337"/>
      <c r="D13" s="7"/>
      <c r="E13" s="7"/>
      <c r="F13" s="340"/>
    </row>
    <row r="14" spans="1:6" ht="15" hidden="1" customHeight="1" x14ac:dyDescent="0.35">
      <c r="A14" s="337"/>
      <c r="B14" s="336"/>
      <c r="C14" s="337"/>
      <c r="D14" s="7"/>
      <c r="E14" s="7"/>
      <c r="F14" s="351"/>
    </row>
    <row r="15" spans="1:6" ht="15" hidden="1" customHeight="1" x14ac:dyDescent="0.35">
      <c r="A15" s="337"/>
      <c r="C15" s="337"/>
      <c r="D15" s="7"/>
      <c r="E15" s="7"/>
      <c r="F15" s="337"/>
    </row>
    <row r="16" spans="1:6" ht="15" hidden="1" customHeight="1" x14ac:dyDescent="0.35">
      <c r="A16" s="337"/>
      <c r="C16" s="337"/>
      <c r="D16" s="7"/>
      <c r="E16" s="7"/>
      <c r="F16" s="337"/>
    </row>
    <row r="17" spans="1:6" ht="15" hidden="1" customHeight="1" x14ac:dyDescent="0.35">
      <c r="A17" s="337"/>
      <c r="C17" s="337"/>
      <c r="D17" s="7"/>
      <c r="E17" s="7"/>
      <c r="F17" s="337"/>
    </row>
    <row r="18" spans="1:6" ht="15" hidden="1" customHeight="1" x14ac:dyDescent="0.35">
      <c r="A18" s="337"/>
      <c r="C18" s="337"/>
      <c r="D18" s="7"/>
      <c r="E18" s="7"/>
      <c r="F18" s="337"/>
    </row>
    <row r="19" spans="1:6" ht="15" hidden="1" customHeight="1" x14ac:dyDescent="0.35">
      <c r="A19" s="337"/>
      <c r="C19" s="337"/>
      <c r="D19" s="7"/>
      <c r="E19" s="7"/>
      <c r="F19" s="337"/>
    </row>
    <row r="20" spans="1:6" s="7" customFormat="1" ht="15" hidden="1" customHeight="1" x14ac:dyDescent="0.35">
      <c r="A20" s="337"/>
      <c r="B20" s="339"/>
      <c r="C20" s="337"/>
      <c r="F20" s="337"/>
    </row>
    <row r="21" spans="1:6" ht="15" hidden="1" customHeight="1" x14ac:dyDescent="0.35">
      <c r="A21" s="337"/>
      <c r="C21" s="337"/>
      <c r="D21" s="7"/>
      <c r="E21" s="7"/>
      <c r="F21" s="337"/>
    </row>
    <row r="22" spans="1:6" ht="15" hidden="1" customHeight="1" x14ac:dyDescent="0.35">
      <c r="A22" s="337"/>
      <c r="C22" s="337"/>
      <c r="D22" s="7"/>
      <c r="E22" s="7"/>
      <c r="F22" s="337"/>
    </row>
    <row r="23" spans="1:6" s="124" customFormat="1" ht="15" hidden="1" customHeight="1" x14ac:dyDescent="0.35">
      <c r="A23" s="343"/>
      <c r="C23" s="343"/>
    </row>
    <row r="24" spans="1:6" s="7" customFormat="1" ht="15" hidden="1" customHeight="1" x14ac:dyDescent="0.35">
      <c r="A24" s="337"/>
      <c r="C24" s="337"/>
    </row>
    <row r="25" spans="1:6" s="7" customFormat="1" ht="15" hidden="1" customHeight="1" x14ac:dyDescent="0.35">
      <c r="A25" s="337"/>
      <c r="C25" s="337"/>
    </row>
    <row r="26" spans="1:6" s="7" customFormat="1" ht="15" hidden="1" customHeight="1" x14ac:dyDescent="0.35">
      <c r="A26" s="337"/>
      <c r="C26" s="337"/>
    </row>
    <row r="27" spans="1:6" s="7" customFormat="1" ht="15" hidden="1" customHeight="1" x14ac:dyDescent="0.35">
      <c r="A27" s="337"/>
      <c r="C27" s="337"/>
    </row>
    <row r="28" spans="1:6" ht="15" hidden="1" customHeight="1" x14ac:dyDescent="0.35">
      <c r="C28" s="7"/>
      <c r="D28" s="7"/>
      <c r="E28" s="7"/>
      <c r="F28" s="7"/>
    </row>
    <row r="29" spans="1:6" ht="15" hidden="1" customHeight="1" x14ac:dyDescent="0.35">
      <c r="C29" s="7"/>
      <c r="D29" s="7"/>
      <c r="E29" s="7"/>
      <c r="F29" s="7"/>
    </row>
    <row r="30" spans="1:6" ht="15" hidden="1" customHeight="1" x14ac:dyDescent="0.35">
      <c r="C30" s="7"/>
      <c r="D30" s="7"/>
      <c r="E30" s="7"/>
      <c r="F30" s="7"/>
    </row>
    <row r="31" spans="1:6" ht="15" hidden="1" customHeight="1" x14ac:dyDescent="0.35">
      <c r="C31" s="7"/>
      <c r="D31" s="7"/>
      <c r="E31" s="7"/>
      <c r="F31" s="7"/>
    </row>
    <row r="32" spans="1:6" ht="15" hidden="1" customHeight="1" x14ac:dyDescent="0.35">
      <c r="C32" s="7"/>
      <c r="D32" s="7"/>
      <c r="E32" s="7"/>
      <c r="F32" s="7"/>
    </row>
    <row r="33" ht="15" hidden="1" customHeight="1" x14ac:dyDescent="0.35"/>
    <row r="34" ht="15" hidden="1" customHeight="1" x14ac:dyDescent="0.35"/>
    <row r="35" ht="15" hidden="1" customHeight="1" x14ac:dyDescent="0.35"/>
    <row r="36" ht="15" hidden="1" customHeight="1" x14ac:dyDescent="0.35"/>
    <row r="37" ht="15" hidden="1" customHeight="1" x14ac:dyDescent="0.35"/>
    <row r="38" ht="15" hidden="1" customHeight="1" x14ac:dyDescent="0.35"/>
    <row r="39" ht="15" hidden="1" customHeight="1" x14ac:dyDescent="0.35"/>
    <row r="40" ht="15" hidden="1" customHeight="1" x14ac:dyDescent="0.35"/>
    <row r="41" ht="15" hidden="1" customHeight="1" x14ac:dyDescent="0.35"/>
    <row r="42" ht="15" hidden="1" customHeight="1" x14ac:dyDescent="0.35"/>
    <row r="43" ht="15" hidden="1" customHeight="1" x14ac:dyDescent="0.35"/>
    <row r="44" ht="15" hidden="1" customHeight="1" x14ac:dyDescent="0.35"/>
    <row r="45" ht="15" hidden="1" customHeight="1" x14ac:dyDescent="0.35"/>
    <row r="46" ht="15" hidden="1" customHeight="1" x14ac:dyDescent="0.35"/>
    <row r="47" ht="15" hidden="1" customHeight="1" x14ac:dyDescent="0.35"/>
    <row r="48" ht="15" hidden="1" customHeight="1" x14ac:dyDescent="0.35"/>
    <row r="49" ht="15" hidden="1" customHeight="1" x14ac:dyDescent="0.35"/>
    <row r="50" ht="15" hidden="1" customHeight="1" x14ac:dyDescent="0.35"/>
    <row r="51" ht="15" hidden="1" customHeight="1" x14ac:dyDescent="0.35"/>
    <row r="52" ht="15" hidden="1" customHeight="1" x14ac:dyDescent="0.35"/>
    <row r="53" ht="15" hidden="1" customHeight="1" x14ac:dyDescent="0.35"/>
    <row r="54" ht="15" hidden="1" customHeight="1" x14ac:dyDescent="0.35"/>
    <row r="55" ht="15" hidden="1" customHeight="1" x14ac:dyDescent="0.35"/>
    <row r="56" ht="15" hidden="1" customHeight="1" x14ac:dyDescent="0.35"/>
    <row r="57" ht="15" hidden="1" customHeight="1" x14ac:dyDescent="0.35"/>
    <row r="58" ht="15" hidden="1" customHeight="1" x14ac:dyDescent="0.35"/>
    <row r="59" ht="15" hidden="1" customHeight="1" x14ac:dyDescent="0.35"/>
    <row r="60" ht="15" hidden="1" customHeight="1" x14ac:dyDescent="0.35"/>
    <row r="61" ht="15" hidden="1" customHeight="1" x14ac:dyDescent="0.35"/>
    <row r="62" ht="15" hidden="1" customHeight="1" x14ac:dyDescent="0.35"/>
    <row r="63" ht="15" hidden="1" customHeight="1" x14ac:dyDescent="0.35"/>
    <row r="64"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row r="111" ht="15" hidden="1" customHeight="1" x14ac:dyDescent="0.35"/>
    <row r="112" ht="15" hidden="1" customHeight="1" x14ac:dyDescent="0.35"/>
    <row r="113" ht="15" hidden="1" customHeight="1" x14ac:dyDescent="0.35"/>
    <row r="114" ht="15" hidden="1" customHeight="1" x14ac:dyDescent="0.35"/>
    <row r="115" ht="15" hidden="1" customHeight="1" x14ac:dyDescent="0.35"/>
    <row r="116" ht="15" hidden="1" customHeight="1" x14ac:dyDescent="0.35"/>
    <row r="117" ht="15" hidden="1" customHeight="1" x14ac:dyDescent="0.35"/>
    <row r="118" ht="15" hidden="1" customHeight="1" x14ac:dyDescent="0.35"/>
    <row r="119" ht="15" hidden="1" customHeight="1" x14ac:dyDescent="0.35"/>
    <row r="120" ht="15" hidden="1" customHeight="1" x14ac:dyDescent="0.35"/>
    <row r="121" ht="15" hidden="1" customHeight="1" x14ac:dyDescent="0.35"/>
    <row r="122" ht="15" hidden="1" customHeight="1" x14ac:dyDescent="0.35"/>
    <row r="123" ht="15" hidden="1" customHeight="1" x14ac:dyDescent="0.35"/>
    <row r="124" ht="15" hidden="1" customHeight="1" x14ac:dyDescent="0.35"/>
    <row r="125" ht="15" hidden="1" customHeight="1" x14ac:dyDescent="0.35"/>
    <row r="126" ht="15" hidden="1" customHeight="1" x14ac:dyDescent="0.35"/>
    <row r="127" ht="15" hidden="1" customHeight="1" x14ac:dyDescent="0.35"/>
    <row r="128" ht="15" hidden="1" customHeight="1" x14ac:dyDescent="0.35"/>
    <row r="129" ht="15" hidden="1" customHeight="1" x14ac:dyDescent="0.35"/>
    <row r="130" ht="15" hidden="1" customHeight="1" x14ac:dyDescent="0.35"/>
    <row r="131" ht="15" hidden="1" customHeight="1" x14ac:dyDescent="0.35"/>
    <row r="132" ht="15" hidden="1" customHeight="1" x14ac:dyDescent="0.35"/>
    <row r="133" ht="15" hidden="1" customHeight="1" x14ac:dyDescent="0.35"/>
    <row r="134" ht="15" hidden="1" customHeight="1" x14ac:dyDescent="0.35"/>
    <row r="135" ht="15" hidden="1" customHeight="1" x14ac:dyDescent="0.35"/>
    <row r="136" ht="15" hidden="1" customHeight="1" x14ac:dyDescent="0.35"/>
    <row r="137" ht="15" hidden="1" customHeight="1" x14ac:dyDescent="0.35"/>
    <row r="138" ht="15" hidden="1" customHeight="1" x14ac:dyDescent="0.35"/>
    <row r="139" ht="15" hidden="1" customHeight="1" x14ac:dyDescent="0.35"/>
    <row r="140" ht="15" hidden="1" customHeight="1" x14ac:dyDescent="0.35"/>
    <row r="141" ht="15" hidden="1" customHeight="1" x14ac:dyDescent="0.35"/>
    <row r="142" ht="15" hidden="1" customHeight="1" x14ac:dyDescent="0.35"/>
    <row r="143" ht="15" hidden="1" customHeight="1" x14ac:dyDescent="0.35"/>
    <row r="144" ht="15" hidden="1" customHeight="1" x14ac:dyDescent="0.35"/>
    <row r="145" ht="15" hidden="1" customHeight="1" x14ac:dyDescent="0.35"/>
    <row r="146" ht="15" hidden="1" customHeight="1" x14ac:dyDescent="0.35"/>
    <row r="147" ht="15" hidden="1" customHeight="1" x14ac:dyDescent="0.35"/>
    <row r="148" ht="15" hidden="1" customHeight="1" x14ac:dyDescent="0.35"/>
    <row r="149" ht="15" hidden="1" customHeight="1" x14ac:dyDescent="0.35"/>
    <row r="150" ht="15" hidden="1" customHeight="1" x14ac:dyDescent="0.35"/>
    <row r="151" ht="15" hidden="1" customHeight="1" x14ac:dyDescent="0.35"/>
    <row r="152" ht="15" hidden="1" customHeight="1" x14ac:dyDescent="0.35"/>
    <row r="153" ht="15" hidden="1" customHeight="1" x14ac:dyDescent="0.35"/>
    <row r="154" ht="15" hidden="1" customHeight="1" x14ac:dyDescent="0.35"/>
    <row r="155" ht="15" hidden="1" customHeight="1" x14ac:dyDescent="0.35"/>
    <row r="156" ht="15" hidden="1" customHeight="1" x14ac:dyDescent="0.35"/>
    <row r="157" ht="15" hidden="1" customHeight="1" x14ac:dyDescent="0.35"/>
    <row r="158" ht="15" hidden="1" customHeight="1" x14ac:dyDescent="0.35"/>
    <row r="159" ht="15" hidden="1" customHeight="1" x14ac:dyDescent="0.35"/>
    <row r="160" ht="15" hidden="1" customHeight="1" x14ac:dyDescent="0.35"/>
    <row r="161" ht="15" hidden="1" customHeight="1" x14ac:dyDescent="0.35"/>
    <row r="162" ht="15" hidden="1" customHeight="1" x14ac:dyDescent="0.35"/>
    <row r="163" ht="15" hidden="1" customHeight="1" x14ac:dyDescent="0.35"/>
    <row r="164" ht="15" hidden="1" customHeight="1" x14ac:dyDescent="0.35"/>
    <row r="165" ht="15" hidden="1" customHeight="1" x14ac:dyDescent="0.35"/>
    <row r="166" ht="15" hidden="1" customHeight="1" x14ac:dyDescent="0.35"/>
    <row r="167" ht="15" hidden="1" customHeight="1" x14ac:dyDescent="0.35"/>
    <row r="168" ht="15" hidden="1" customHeight="1" x14ac:dyDescent="0.35"/>
    <row r="169" ht="15" hidden="1" customHeight="1" x14ac:dyDescent="0.35"/>
    <row r="170" ht="15" hidden="1" customHeight="1" x14ac:dyDescent="0.35"/>
    <row r="171" ht="15" hidden="1" customHeight="1" x14ac:dyDescent="0.35"/>
    <row r="172" ht="15" hidden="1" customHeight="1" x14ac:dyDescent="0.35"/>
    <row r="173" ht="15" hidden="1" customHeight="1" x14ac:dyDescent="0.35"/>
    <row r="174" ht="15" hidden="1" customHeight="1" x14ac:dyDescent="0.35"/>
    <row r="175" ht="15" hidden="1" customHeight="1" x14ac:dyDescent="0.35"/>
    <row r="176" ht="15" hidden="1" customHeight="1" x14ac:dyDescent="0.35"/>
    <row r="177" ht="15" hidden="1" customHeight="1" x14ac:dyDescent="0.35"/>
    <row r="178" ht="15" hidden="1" customHeight="1" x14ac:dyDescent="0.35"/>
    <row r="179" ht="15" hidden="1" customHeight="1" x14ac:dyDescent="0.35"/>
    <row r="180" ht="15" hidden="1" customHeight="1" x14ac:dyDescent="0.35"/>
    <row r="181" ht="15" hidden="1" customHeight="1" x14ac:dyDescent="0.35"/>
    <row r="182" ht="15" hidden="1" customHeight="1" x14ac:dyDescent="0.35"/>
    <row r="183" ht="15" hidden="1" customHeight="1" x14ac:dyDescent="0.35"/>
    <row r="184" ht="15" hidden="1" customHeight="1" x14ac:dyDescent="0.35"/>
    <row r="185" ht="15" hidden="1" customHeight="1" x14ac:dyDescent="0.35"/>
    <row r="186" ht="15" hidden="1" customHeight="1" x14ac:dyDescent="0.35"/>
    <row r="187" ht="15" hidden="1" customHeight="1" x14ac:dyDescent="0.35"/>
    <row r="188" ht="15" hidden="1" customHeight="1" x14ac:dyDescent="0.35"/>
    <row r="189" ht="15" hidden="1" customHeight="1" x14ac:dyDescent="0.35"/>
    <row r="190" ht="15" hidden="1" customHeight="1" x14ac:dyDescent="0.35"/>
    <row r="191" ht="15" hidden="1" customHeight="1" x14ac:dyDescent="0.35"/>
    <row r="192" ht="15" hidden="1" customHeight="1" x14ac:dyDescent="0.35"/>
    <row r="193" ht="15" hidden="1" customHeight="1" x14ac:dyDescent="0.35"/>
    <row r="194" ht="15" hidden="1" customHeight="1" x14ac:dyDescent="0.35"/>
    <row r="195" ht="15" hidden="1" customHeight="1" x14ac:dyDescent="0.35"/>
    <row r="196" ht="15" hidden="1" customHeight="1" x14ac:dyDescent="0.35"/>
    <row r="197" ht="15" hidden="1" customHeight="1" x14ac:dyDescent="0.35"/>
    <row r="198" ht="15" hidden="1" customHeight="1" x14ac:dyDescent="0.35"/>
    <row r="199" ht="15" hidden="1" customHeight="1" x14ac:dyDescent="0.35"/>
    <row r="200" ht="15" hidden="1" customHeight="1" x14ac:dyDescent="0.35"/>
    <row r="201" ht="15" hidden="1" customHeight="1" x14ac:dyDescent="0.35"/>
    <row r="202" ht="15" hidden="1" customHeight="1" x14ac:dyDescent="0.35"/>
    <row r="203" ht="15" hidden="1" customHeight="1" x14ac:dyDescent="0.35"/>
    <row r="204" ht="15" hidden="1" customHeight="1" x14ac:dyDescent="0.35"/>
    <row r="205" ht="15" hidden="1" customHeight="1" x14ac:dyDescent="0.35"/>
    <row r="206" ht="15" hidden="1" customHeight="1" x14ac:dyDescent="0.35"/>
    <row r="207" ht="15" hidden="1" customHeight="1" x14ac:dyDescent="0.35"/>
    <row r="208" ht="15" hidden="1" customHeight="1" x14ac:dyDescent="0.35"/>
    <row r="209" ht="15" hidden="1" customHeight="1" x14ac:dyDescent="0.35"/>
    <row r="210" ht="15" hidden="1" customHeight="1" x14ac:dyDescent="0.35"/>
    <row r="211" ht="15" hidden="1" customHeight="1" x14ac:dyDescent="0.35"/>
    <row r="212" ht="15" hidden="1" customHeight="1" x14ac:dyDescent="0.35"/>
    <row r="213" ht="15" hidden="1" customHeight="1" x14ac:dyDescent="0.35"/>
    <row r="214" ht="15" hidden="1" customHeight="1" x14ac:dyDescent="0.35"/>
    <row r="215" ht="15" hidden="1" customHeight="1" x14ac:dyDescent="0.35"/>
    <row r="216" ht="15" hidden="1" customHeight="1" x14ac:dyDescent="0.35"/>
    <row r="217" ht="15" hidden="1" customHeight="1" x14ac:dyDescent="0.35"/>
    <row r="218" ht="15" hidden="1" customHeight="1" x14ac:dyDescent="0.35"/>
    <row r="219" ht="15" hidden="1" customHeight="1" x14ac:dyDescent="0.35"/>
    <row r="220" ht="15" hidden="1" customHeight="1" x14ac:dyDescent="0.35"/>
    <row r="221" ht="15" hidden="1" customHeight="1" x14ac:dyDescent="0.35"/>
    <row r="222" ht="15" hidden="1" customHeight="1" x14ac:dyDescent="0.35"/>
    <row r="223" ht="15" hidden="1" customHeight="1" x14ac:dyDescent="0.35"/>
    <row r="224" ht="15" hidden="1" customHeight="1" x14ac:dyDescent="0.35"/>
    <row r="225" ht="15" hidden="1" customHeight="1" x14ac:dyDescent="0.35"/>
    <row r="226" ht="15" hidden="1" customHeight="1" x14ac:dyDescent="0.35"/>
    <row r="227" ht="15" hidden="1" customHeight="1" x14ac:dyDescent="0.35"/>
    <row r="228" ht="15" hidden="1" customHeight="1" x14ac:dyDescent="0.35"/>
    <row r="229" ht="15" hidden="1" customHeight="1" x14ac:dyDescent="0.35"/>
    <row r="230" ht="15" hidden="1" customHeight="1" x14ac:dyDescent="0.35"/>
    <row r="231" ht="15" hidden="1" customHeight="1" x14ac:dyDescent="0.35"/>
    <row r="232" ht="15" hidden="1" customHeight="1" x14ac:dyDescent="0.35"/>
    <row r="233" ht="15" hidden="1" customHeight="1" x14ac:dyDescent="0.35"/>
    <row r="234" ht="15" hidden="1" customHeight="1" x14ac:dyDescent="0.35"/>
    <row r="235" ht="15" hidden="1" customHeight="1" x14ac:dyDescent="0.35"/>
    <row r="236" ht="15" hidden="1" customHeight="1" x14ac:dyDescent="0.35"/>
    <row r="237" ht="15" hidden="1" customHeight="1" x14ac:dyDescent="0.35"/>
    <row r="238" ht="15" hidden="1" customHeight="1" x14ac:dyDescent="0.35"/>
    <row r="239" ht="15" hidden="1" customHeight="1" x14ac:dyDescent="0.35"/>
    <row r="240" ht="15" hidden="1" customHeight="1" x14ac:dyDescent="0.35"/>
    <row r="241" ht="15" hidden="1" customHeight="1" x14ac:dyDescent="0.35"/>
    <row r="242" ht="15" hidden="1" customHeight="1" x14ac:dyDescent="0.35"/>
    <row r="243" ht="15" hidden="1" customHeight="1" x14ac:dyDescent="0.35"/>
    <row r="244" ht="15" hidden="1" customHeight="1" x14ac:dyDescent="0.35"/>
    <row r="245" ht="15" hidden="1" customHeight="1" x14ac:dyDescent="0.35"/>
    <row r="246" ht="15" hidden="1" customHeight="1" x14ac:dyDescent="0.35"/>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E34A-7887-4E93-A1E7-A2A2FABAB538}">
  <sheetPr codeName="Sheet4">
    <pageSetUpPr autoPageBreaks="0"/>
  </sheetPr>
  <dimension ref="A1:G58"/>
  <sheetViews>
    <sheetView showGridLines="0" topLeftCell="A16" zoomScale="110" zoomScaleNormal="110" workbookViewId="0">
      <selection activeCell="B48" sqref="B48"/>
    </sheetView>
  </sheetViews>
  <sheetFormatPr defaultColWidth="0" defaultRowHeight="14.5" zeroHeight="1" x14ac:dyDescent="0.35"/>
  <cols>
    <col min="1" max="1" width="2.6328125" style="13" customWidth="1"/>
    <col min="2" max="2" width="50.36328125" style="13" customWidth="1"/>
    <col min="3" max="3" width="3.81640625" style="41" customWidth="1"/>
    <col min="4" max="4" width="37.08984375" style="13" customWidth="1"/>
    <col min="5" max="5" width="2.6328125" style="13" customWidth="1"/>
    <col min="6" max="6" width="27.6328125" style="13" hidden="1" customWidth="1"/>
    <col min="7" max="7" width="2.36328125" style="13" hidden="1" customWidth="1"/>
    <col min="8" max="16384" width="8.81640625" style="13" hidden="1"/>
  </cols>
  <sheetData>
    <row r="1" spans="2:6" x14ac:dyDescent="0.35"/>
    <row r="2" spans="2:6" ht="17" x14ac:dyDescent="0.5">
      <c r="B2" s="2" t="s">
        <v>741</v>
      </c>
      <c r="C2" s="40"/>
      <c r="D2" s="14"/>
      <c r="F2" s="15" t="s">
        <v>750</v>
      </c>
    </row>
    <row r="3" spans="2:6" x14ac:dyDescent="0.35">
      <c r="F3" s="16" t="s">
        <v>751</v>
      </c>
    </row>
    <row r="4" spans="2:6" ht="15.5" x14ac:dyDescent="0.45">
      <c r="B4" s="23" t="s">
        <v>752</v>
      </c>
      <c r="C4" s="42"/>
      <c r="D4" s="23"/>
    </row>
    <row r="5" spans="2:6" ht="5.15" customHeight="1" x14ac:dyDescent="0.35"/>
    <row r="6" spans="2:6" x14ac:dyDescent="0.35">
      <c r="B6" s="13" t="s">
        <v>753</v>
      </c>
      <c r="C6" s="41" t="s">
        <v>754</v>
      </c>
      <c r="D6" s="82" t="s">
        <v>755</v>
      </c>
    </row>
    <row r="7" spans="2:6" x14ac:dyDescent="0.35">
      <c r="B7" s="13" t="s">
        <v>31</v>
      </c>
      <c r="C7" s="41" t="s">
        <v>756</v>
      </c>
      <c r="D7" s="82" t="s">
        <v>755</v>
      </c>
    </row>
    <row r="8" spans="2:6" x14ac:dyDescent="0.35">
      <c r="B8" s="13" t="s">
        <v>32</v>
      </c>
      <c r="C8" s="41" t="s">
        <v>757</v>
      </c>
      <c r="D8" s="82" t="s">
        <v>755</v>
      </c>
    </row>
    <row r="9" spans="2:6" x14ac:dyDescent="0.35">
      <c r="B9" s="13" t="s">
        <v>758</v>
      </c>
      <c r="C9" s="41" t="s">
        <v>759</v>
      </c>
      <c r="D9" s="82" t="s">
        <v>755</v>
      </c>
    </row>
    <row r="10" spans="2:6" x14ac:dyDescent="0.35">
      <c r="B10" s="13" t="s">
        <v>760</v>
      </c>
      <c r="C10" s="41" t="s">
        <v>761</v>
      </c>
      <c r="D10" s="82" t="s">
        <v>755</v>
      </c>
    </row>
    <row r="11" spans="2:6" x14ac:dyDescent="0.35">
      <c r="B11" s="13" t="s">
        <v>762</v>
      </c>
      <c r="C11" s="41" t="s">
        <v>763</v>
      </c>
      <c r="D11" s="82" t="s">
        <v>755</v>
      </c>
    </row>
    <row r="12" spans="2:6" x14ac:dyDescent="0.35"/>
    <row r="13" spans="2:6" ht="15.5" x14ac:dyDescent="0.45">
      <c r="B13" s="23" t="s">
        <v>764</v>
      </c>
      <c r="C13" s="42"/>
      <c r="D13" s="23"/>
    </row>
    <row r="14" spans="2:6" ht="5.15" customHeight="1" x14ac:dyDescent="0.35"/>
    <row r="15" spans="2:6" x14ac:dyDescent="0.35">
      <c r="B15" s="13" t="s">
        <v>7</v>
      </c>
      <c r="C15" s="41" t="s">
        <v>765</v>
      </c>
      <c r="D15" s="82"/>
    </row>
    <row r="16" spans="2:6" x14ac:dyDescent="0.35">
      <c r="B16" s="13" t="s">
        <v>8</v>
      </c>
      <c r="C16" s="41" t="s">
        <v>766</v>
      </c>
      <c r="D16" s="82"/>
    </row>
    <row r="17" spans="2:4" x14ac:dyDescent="0.35">
      <c r="B17" s="13" t="s">
        <v>9</v>
      </c>
      <c r="C17" s="41" t="s">
        <v>767</v>
      </c>
      <c r="D17" s="82"/>
    </row>
    <row r="18" spans="2:4" x14ac:dyDescent="0.35">
      <c r="B18" s="13" t="s">
        <v>10</v>
      </c>
      <c r="C18" s="41" t="s">
        <v>768</v>
      </c>
      <c r="D18" s="82"/>
    </row>
    <row r="19" spans="2:4" x14ac:dyDescent="0.35">
      <c r="B19" s="13" t="s">
        <v>11</v>
      </c>
      <c r="C19" s="41" t="s">
        <v>769</v>
      </c>
      <c r="D19" s="82"/>
    </row>
    <row r="20" spans="2:4" x14ac:dyDescent="0.35">
      <c r="B20" s="13" t="s">
        <v>12</v>
      </c>
      <c r="C20" s="41" t="s">
        <v>770</v>
      </c>
      <c r="D20" s="82"/>
    </row>
    <row r="21" spans="2:4" x14ac:dyDescent="0.35">
      <c r="B21" s="13" t="s">
        <v>13</v>
      </c>
      <c r="C21" s="41" t="s">
        <v>771</v>
      </c>
      <c r="D21" s="82"/>
    </row>
    <row r="22" spans="2:4" x14ac:dyDescent="0.35">
      <c r="B22" s="13" t="s">
        <v>14</v>
      </c>
      <c r="C22" s="41" t="s">
        <v>772</v>
      </c>
      <c r="D22" s="82"/>
    </row>
    <row r="23" spans="2:4" x14ac:dyDescent="0.35">
      <c r="B23" s="13" t="s">
        <v>15</v>
      </c>
      <c r="C23" s="41" t="s">
        <v>773</v>
      </c>
      <c r="D23" s="82"/>
    </row>
    <row r="24" spans="2:4" x14ac:dyDescent="0.35">
      <c r="B24" s="13" t="s">
        <v>16</v>
      </c>
      <c r="C24" s="41" t="s">
        <v>774</v>
      </c>
      <c r="D24" s="82"/>
    </row>
    <row r="25" spans="2:4" x14ac:dyDescent="0.35"/>
    <row r="26" spans="2:4" ht="15.5" x14ac:dyDescent="0.45">
      <c r="B26" s="23" t="s">
        <v>775</v>
      </c>
      <c r="C26" s="42"/>
      <c r="D26" s="23"/>
    </row>
    <row r="27" spans="2:4" ht="5.15" customHeight="1" x14ac:dyDescent="0.35"/>
    <row r="28" spans="2:4" x14ac:dyDescent="0.35">
      <c r="B28" s="13" t="s">
        <v>17</v>
      </c>
      <c r="C28" s="41" t="s">
        <v>776</v>
      </c>
      <c r="D28" s="83"/>
    </row>
    <row r="29" spans="2:4" x14ac:dyDescent="0.35">
      <c r="B29" s="13" t="s">
        <v>18</v>
      </c>
      <c r="C29" s="41" t="s">
        <v>777</v>
      </c>
      <c r="D29" s="241">
        <f>'Residential Assumptions'!D99+'Residential Assumptions'!F99+'Retail Assumptions'!E113+'Office Assumptions'!E113+'Hotel Assumptions'!D115+'Industrial Assumptions'!E113+'Parking Assumptions'!D67</f>
        <v>0</v>
      </c>
    </row>
    <row r="30" spans="2:4" x14ac:dyDescent="0.35">
      <c r="B30" s="13" t="s">
        <v>19</v>
      </c>
      <c r="C30" s="41" t="s">
        <v>778</v>
      </c>
      <c r="D30" s="241">
        <f>'Residential Assumptions'!D100+'Residential Assumptions'!F100+'Retail Assumptions'!E114+'Office Assumptions'!E114+'Hotel Assumptions'!D116+'Industrial Assumptions'!E114+'Parking Assumptions'!D68</f>
        <v>0</v>
      </c>
    </row>
    <row r="31" spans="2:4" x14ac:dyDescent="0.35">
      <c r="B31" s="13" t="s">
        <v>20</v>
      </c>
      <c r="C31" s="41" t="s">
        <v>779</v>
      </c>
      <c r="D31" s="84"/>
    </row>
    <row r="32" spans="2:4" x14ac:dyDescent="0.35">
      <c r="B32" s="13" t="s">
        <v>21</v>
      </c>
      <c r="C32" s="41" t="s">
        <v>780</v>
      </c>
      <c r="D32" s="84"/>
    </row>
    <row r="33" spans="2:4" x14ac:dyDescent="0.35">
      <c r="B33" s="13" t="s">
        <v>22</v>
      </c>
      <c r="C33" s="41" t="s">
        <v>781</v>
      </c>
      <c r="D33" s="85"/>
    </row>
    <row r="34" spans="2:4" x14ac:dyDescent="0.35"/>
    <row r="35" spans="2:4" ht="15.5" x14ac:dyDescent="0.45">
      <c r="B35" s="23" t="s">
        <v>782</v>
      </c>
      <c r="C35" s="42"/>
      <c r="D35" s="23"/>
    </row>
    <row r="36" spans="2:4" ht="5.15" customHeight="1" x14ac:dyDescent="0.35"/>
    <row r="37" spans="2:4" x14ac:dyDescent="0.35">
      <c r="B37" s="13" t="s">
        <v>23</v>
      </c>
      <c r="C37" s="41" t="s">
        <v>783</v>
      </c>
      <c r="D37" s="86" t="s">
        <v>784</v>
      </c>
    </row>
    <row r="38" spans="2:4" x14ac:dyDescent="0.35">
      <c r="B38" s="13" t="s">
        <v>24</v>
      </c>
      <c r="C38" s="41" t="s">
        <v>785</v>
      </c>
      <c r="D38" s="86" t="s">
        <v>786</v>
      </c>
    </row>
    <row r="39" spans="2:4" x14ac:dyDescent="0.35">
      <c r="B39" s="13" t="s">
        <v>25</v>
      </c>
      <c r="C39" s="41" t="s">
        <v>787</v>
      </c>
      <c r="D39" s="86" t="s">
        <v>788</v>
      </c>
    </row>
    <row r="40" spans="2:4" x14ac:dyDescent="0.35"/>
    <row r="41" spans="2:4" ht="15.5" x14ac:dyDescent="0.45">
      <c r="B41" s="23" t="s">
        <v>789</v>
      </c>
      <c r="C41" s="42"/>
      <c r="D41" s="23"/>
    </row>
    <row r="42" spans="2:4" ht="5.15" customHeight="1" x14ac:dyDescent="0.35">
      <c r="B42" s="11"/>
      <c r="C42" s="43"/>
      <c r="D42" s="11"/>
    </row>
    <row r="43" spans="2:4" x14ac:dyDescent="0.35">
      <c r="B43" s="13" t="s">
        <v>790</v>
      </c>
      <c r="C43" s="41" t="s">
        <v>791</v>
      </c>
      <c r="D43" s="87" t="s">
        <v>792</v>
      </c>
    </row>
    <row r="44" spans="2:4" x14ac:dyDescent="0.35">
      <c r="B44" s="13" t="s">
        <v>27</v>
      </c>
      <c r="C44" s="41" t="s">
        <v>793</v>
      </c>
      <c r="D44" s="87" t="s">
        <v>794</v>
      </c>
    </row>
    <row r="45" spans="2:4" x14ac:dyDescent="0.35"/>
    <row r="46" spans="2:4" x14ac:dyDescent="0.35">
      <c r="B46" s="39" t="s">
        <v>795</v>
      </c>
      <c r="C46" s="44"/>
    </row>
    <row r="47" spans="2:4" x14ac:dyDescent="0.35">
      <c r="B47" s="13" t="s">
        <v>28</v>
      </c>
      <c r="C47" s="41" t="s">
        <v>796</v>
      </c>
      <c r="D47" s="88" t="s">
        <v>797</v>
      </c>
    </row>
    <row r="48" spans="2:4" x14ac:dyDescent="0.35">
      <c r="B48" s="13" t="s">
        <v>798</v>
      </c>
      <c r="C48" s="41" t="s">
        <v>799</v>
      </c>
      <c r="D48" s="89" t="s">
        <v>800</v>
      </c>
    </row>
    <row r="49" spans="2:4" x14ac:dyDescent="0.35"/>
    <row r="50" spans="2:4" x14ac:dyDescent="0.35">
      <c r="B50" s="39" t="s">
        <v>801</v>
      </c>
      <c r="C50" s="44"/>
    </row>
    <row r="51" spans="2:4" x14ac:dyDescent="0.35">
      <c r="B51" s="330" t="s">
        <v>802</v>
      </c>
      <c r="C51" s="41" t="s">
        <v>803</v>
      </c>
      <c r="D51" s="90">
        <v>0</v>
      </c>
    </row>
    <row r="52" spans="2:4" x14ac:dyDescent="0.35">
      <c r="B52" s="13" t="s">
        <v>31</v>
      </c>
      <c r="C52" s="41" t="s">
        <v>804</v>
      </c>
      <c r="D52" s="90">
        <v>0</v>
      </c>
    </row>
    <row r="53" spans="2:4" x14ac:dyDescent="0.35">
      <c r="B53" s="13" t="s">
        <v>32</v>
      </c>
      <c r="C53" s="41" t="s">
        <v>805</v>
      </c>
      <c r="D53" s="90">
        <v>0</v>
      </c>
    </row>
    <row r="54" spans="2:4" x14ac:dyDescent="0.35">
      <c r="B54" s="13" t="s">
        <v>33</v>
      </c>
      <c r="C54" s="41" t="s">
        <v>806</v>
      </c>
      <c r="D54" s="90">
        <v>0</v>
      </c>
    </row>
    <row r="55" spans="2:4" x14ac:dyDescent="0.35">
      <c r="B55" s="13" t="s">
        <v>34</v>
      </c>
      <c r="C55" s="41" t="s">
        <v>807</v>
      </c>
      <c r="D55" s="90">
        <v>0</v>
      </c>
    </row>
    <row r="56" spans="2:4" x14ac:dyDescent="0.35">
      <c r="B56" s="331" t="s">
        <v>808</v>
      </c>
      <c r="C56" s="79" t="s">
        <v>809</v>
      </c>
      <c r="D56" s="91">
        <v>0</v>
      </c>
    </row>
    <row r="57" spans="2:4" x14ac:dyDescent="0.35">
      <c r="B57" s="13" t="s">
        <v>810</v>
      </c>
      <c r="D57" s="80">
        <f>IFERROR(D51*IF(D6="Yes",1,0),0)+
IFERROR(D52*IF(D7="Yes",1,0),0)+
IFERROR(D53*IF(D8="Yes",1,0),0)+
IFERROR(D54*IF(D9="Yes",1,0),0)+
IFERROR(D55*IF(D10="Yes",1,0),0)+
IFERROR(D56*IF(D11="Yes",1,0),0)</f>
        <v>0</v>
      </c>
    </row>
    <row r="58" spans="2:4" x14ac:dyDescent="0.35"/>
  </sheetData>
  <sheetProtection sheet="1" objects="1" scenarios="1"/>
  <phoneticPr fontId="6" type="noConversion"/>
  <dataValidations count="11">
    <dataValidation type="list" allowBlank="1" showInputMessage="1" showErrorMessage="1" sqref="D37" xr:uid="{F96DFEF1-8D2E-446B-8C16-32D2E38CC03B}">
      <formula1>"New Construction, Renovation"</formula1>
    </dataValidation>
    <dataValidation type="list" allowBlank="1" showInputMessage="1" showErrorMessage="1" sqref="D43" xr:uid="{C8BFCA19-BACF-4D49-A9C0-CB753CD84541}">
      <formula1>"6b, 7a, 7b, 7c, 8, C, L, None"</formula1>
    </dataValidation>
    <dataValidation type="list" allowBlank="1" showInputMessage="1" showErrorMessage="1" sqref="D44" xr:uid="{FEB7AFD7-D030-4EF3-9183-3DAB1B4CFC23}">
      <formula1>"Abandoned Property, Rehabilitation"</formula1>
    </dataValidation>
    <dataValidation type="list" allowBlank="1" showInputMessage="1" showErrorMessage="1" sqref="D38" xr:uid="{F236C55B-D340-49E5-AD41-2A02E4BA0D47}">
      <formula1>"Vinyl Clapboard, Stone Veneer, Fiber Cement, E.I.F.S., Precast Concrete, Brick Veneer, None"</formula1>
    </dataValidation>
    <dataValidation type="list" allowBlank="1" showInputMessage="1" showErrorMessage="1" sqref="D39" xr:uid="{C970D3A0-D092-4A08-A9B0-DA3329D358AD}">
      <formula1>"Wood Frame, Riged Steel, Reinforced Concrete, None"</formula1>
    </dataValidation>
    <dataValidation type="custom" allowBlank="1" showInputMessage="1" showErrorMessage="1" sqref="D15:D24" xr:uid="{90CCD98F-DA21-410B-81BA-67C0D99A6497}">
      <formula1>LEN( SUBSTITUTE(D15,"-","") * 1)=14</formula1>
    </dataValidation>
    <dataValidation type="decimal" operator="greaterThan" allowBlank="1" showInputMessage="1" showErrorMessage="1" sqref="D31:D33 D28" xr:uid="{0EFB9C09-F02E-47BB-BF2C-049812AFF1A9}">
      <formula1>0</formula1>
    </dataValidation>
    <dataValidation type="list" allowBlank="1" showInputMessage="1" showErrorMessage="1" sqref="D6:D11" xr:uid="{F3DE5071-66FF-46A5-8FEB-E027E98A2835}">
      <formula1>"Yes, No"</formula1>
    </dataValidation>
    <dataValidation type="decimal" operator="lessThanOrEqual" allowBlank="1" showInputMessage="1" showErrorMessage="1" sqref="D48" xr:uid="{EE51BB38-8EAE-4979-8538-413DF3A498EC}">
      <formula1>1</formula1>
    </dataValidation>
    <dataValidation type="decimal" operator="greaterThanOrEqual" allowBlank="1" showInputMessage="1" showErrorMessage="1" sqref="D47 D29:D30" xr:uid="{3E6FFAD8-A763-4279-8B03-B4C766C48698}">
      <formula1>0</formula1>
    </dataValidation>
    <dataValidation type="custom" operator="lessThanOrEqual" allowBlank="1" showInputMessage="1" showErrorMessage="1" sqref="D51:D56" xr:uid="{5A62A786-53D9-4520-81A3-D50B03EEC34D}">
      <formula1>AND(D51&lt;=1,$D$57&lt;=1,D6="Yes")</formula1>
    </dataValidation>
  </dataValidations>
  <pageMargins left="0.25" right="0.25" top="0.75" bottom="0.75" header="0.3" footer="0.3"/>
  <pageSetup orientation="portrait" r:id="rId1"/>
  <ignoredErrors>
    <ignoredError sqref="D29:D3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CFE67-36B7-407D-B9DC-376B25DF8F11}">
  <sheetPr codeName="Sheet2"/>
  <dimension ref="A1:T95"/>
  <sheetViews>
    <sheetView showGridLines="0" topLeftCell="A10" zoomScale="85" zoomScaleNormal="85" workbookViewId="0">
      <selection activeCell="G2" sqref="G2:I2"/>
    </sheetView>
  </sheetViews>
  <sheetFormatPr defaultColWidth="0" defaultRowHeight="14.5" zeroHeight="1" x14ac:dyDescent="0.35"/>
  <cols>
    <col min="1" max="1" width="2.6328125" style="7" customWidth="1"/>
    <col min="2" max="2" width="70.08984375" style="242" customWidth="1"/>
    <col min="3" max="3" width="22.08984375" style="318" customWidth="1"/>
    <col min="4" max="4" width="22.08984375" style="69" customWidth="1"/>
    <col min="6" max="6" width="21" style="69" bestFit="1" customWidth="1"/>
    <col min="7" max="18" width="22.08984375" style="98" customWidth="1"/>
    <col min="19" max="19" width="2.6328125" style="7" customWidth="1"/>
    <col min="20" max="20" width="9.36328125" style="7" hidden="1" customWidth="1"/>
    <col min="21" max="16384" width="8.7265625" style="7" hidden="1"/>
  </cols>
  <sheetData>
    <row r="1" spans="2:19" x14ac:dyDescent="0.35">
      <c r="E1" s="7"/>
    </row>
    <row r="2" spans="2:19" ht="17" x14ac:dyDescent="0.5">
      <c r="B2" s="243" t="s">
        <v>811</v>
      </c>
      <c r="C2" s="319"/>
      <c r="D2" s="2"/>
      <c r="E2" s="7"/>
      <c r="F2" s="2"/>
      <c r="G2" s="365" t="s">
        <v>812</v>
      </c>
      <c r="H2" s="365"/>
      <c r="I2" s="365"/>
      <c r="J2" s="366" t="s">
        <v>813</v>
      </c>
      <c r="K2" s="367"/>
      <c r="L2" s="368"/>
      <c r="M2" s="365" t="s">
        <v>814</v>
      </c>
      <c r="N2" s="365"/>
      <c r="O2" s="365"/>
      <c r="P2" s="366" t="s">
        <v>815</v>
      </c>
      <c r="Q2" s="367"/>
      <c r="R2" s="368"/>
    </row>
    <row r="3" spans="2:19" ht="14.5" customHeight="1" x14ac:dyDescent="0.35">
      <c r="B3" s="244"/>
      <c r="C3" s="320"/>
      <c r="D3" s="70"/>
      <c r="E3" s="7"/>
      <c r="F3" s="70"/>
      <c r="G3" s="99"/>
      <c r="H3" s="99"/>
      <c r="I3" s="99"/>
      <c r="J3" s="259"/>
      <c r="K3" s="260"/>
      <c r="L3" s="261"/>
      <c r="M3" s="99"/>
      <c r="N3" s="99"/>
      <c r="O3" s="99"/>
      <c r="P3" s="259"/>
      <c r="Q3" s="260"/>
      <c r="R3" s="261"/>
    </row>
    <row r="4" spans="2:19" x14ac:dyDescent="0.35">
      <c r="B4" s="245" t="s">
        <v>816</v>
      </c>
      <c r="C4" s="321" t="s">
        <v>817</v>
      </c>
      <c r="D4" s="95" t="s">
        <v>818</v>
      </c>
      <c r="E4" s="7"/>
      <c r="F4" s="95"/>
      <c r="G4" s="100"/>
      <c r="H4" s="100"/>
      <c r="I4" s="100"/>
      <c r="J4" s="262"/>
      <c r="K4" s="100"/>
      <c r="L4" s="263"/>
      <c r="M4" s="100"/>
      <c r="N4" s="100"/>
      <c r="O4" s="100"/>
      <c r="P4" s="262"/>
      <c r="Q4" s="100"/>
      <c r="R4" s="263"/>
    </row>
    <row r="5" spans="2:19" x14ac:dyDescent="0.35">
      <c r="B5" s="246" t="s">
        <v>819</v>
      </c>
      <c r="C5" s="118" t="s">
        <v>797</v>
      </c>
      <c r="D5" s="120" t="s">
        <v>820</v>
      </c>
      <c r="E5" s="7"/>
      <c r="F5" s="72"/>
      <c r="G5" s="345"/>
      <c r="H5" s="345"/>
      <c r="I5" s="345"/>
      <c r="J5" s="346"/>
      <c r="K5" s="347"/>
      <c r="L5" s="348"/>
      <c r="M5" s="345"/>
      <c r="N5" s="345"/>
      <c r="O5" s="345"/>
      <c r="P5" s="346"/>
      <c r="Q5" s="347"/>
      <c r="R5" s="348"/>
    </row>
    <row r="6" spans="2:19" x14ac:dyDescent="0.35">
      <c r="B6" s="242" t="s">
        <v>821</v>
      </c>
      <c r="C6" s="118" t="s">
        <v>797</v>
      </c>
      <c r="D6" s="72"/>
      <c r="E6" s="337"/>
      <c r="F6" s="72"/>
      <c r="G6" s="345"/>
      <c r="H6" s="345"/>
      <c r="I6" s="345"/>
      <c r="J6" s="346"/>
      <c r="K6" s="347"/>
      <c r="L6" s="348"/>
      <c r="M6" s="345"/>
      <c r="N6" s="345"/>
      <c r="O6" s="345"/>
      <c r="P6" s="346"/>
      <c r="Q6" s="347"/>
      <c r="R6" s="348"/>
    </row>
    <row r="7" spans="2:19" x14ac:dyDescent="0.35">
      <c r="B7" s="242" t="s">
        <v>822</v>
      </c>
      <c r="C7" s="118" t="s">
        <v>797</v>
      </c>
      <c r="D7" s="72"/>
      <c r="E7" s="337"/>
      <c r="F7" s="72"/>
      <c r="G7" s="345"/>
      <c r="H7" s="345"/>
      <c r="I7" s="345"/>
      <c r="J7" s="346"/>
      <c r="K7" s="347"/>
      <c r="L7" s="348"/>
      <c r="M7" s="345"/>
      <c r="N7" s="345"/>
      <c r="O7" s="345"/>
      <c r="P7" s="346"/>
      <c r="Q7" s="347"/>
      <c r="R7" s="348"/>
    </row>
    <row r="8" spans="2:19" x14ac:dyDescent="0.35">
      <c r="B8" s="247" t="s">
        <v>823</v>
      </c>
      <c r="C8" s="118" t="s">
        <v>797</v>
      </c>
      <c r="D8" s="341"/>
      <c r="E8" s="337"/>
      <c r="F8" s="341"/>
      <c r="G8" s="345"/>
      <c r="H8" s="345"/>
      <c r="I8" s="345"/>
      <c r="J8" s="346"/>
      <c r="K8" s="347"/>
      <c r="L8" s="348"/>
      <c r="M8" s="345"/>
      <c r="N8" s="345"/>
      <c r="O8" s="345"/>
      <c r="P8" s="346"/>
      <c r="Q8" s="347"/>
      <c r="R8" s="348"/>
      <c r="S8" s="38"/>
    </row>
    <row r="9" spans="2:19" x14ac:dyDescent="0.35">
      <c r="B9" s="247"/>
      <c r="C9" s="322"/>
      <c r="D9" s="38"/>
      <c r="E9" s="7"/>
      <c r="F9" s="38"/>
      <c r="G9" s="38"/>
      <c r="H9" s="38"/>
      <c r="I9" s="38"/>
      <c r="J9" s="266"/>
      <c r="K9" s="38"/>
      <c r="L9" s="267"/>
      <c r="M9" s="38"/>
      <c r="N9" s="38"/>
      <c r="O9" s="38"/>
      <c r="P9" s="266"/>
      <c r="Q9" s="38"/>
      <c r="R9" s="267"/>
      <c r="S9" s="38"/>
    </row>
    <row r="10" spans="2:19" x14ac:dyDescent="0.35">
      <c r="B10" s="248" t="s">
        <v>824</v>
      </c>
      <c r="C10" s="315">
        <f>SUM(C5:C8)</f>
        <v>0</v>
      </c>
      <c r="D10" s="71"/>
      <c r="E10" s="7"/>
      <c r="F10" s="71"/>
      <c r="G10" s="101"/>
      <c r="H10" s="101"/>
      <c r="I10" s="101"/>
      <c r="J10" s="268"/>
      <c r="K10" s="269"/>
      <c r="L10" s="270"/>
      <c r="M10" s="101"/>
      <c r="N10" s="101"/>
      <c r="O10" s="101"/>
      <c r="P10" s="268"/>
      <c r="Q10" s="269"/>
      <c r="R10" s="270"/>
    </row>
    <row r="11" spans="2:19" x14ac:dyDescent="0.35">
      <c r="B11" s="249"/>
      <c r="C11" s="323"/>
      <c r="D11" s="72"/>
      <c r="E11" s="7"/>
      <c r="F11" s="72"/>
      <c r="G11" s="102"/>
      <c r="H11" s="102"/>
      <c r="I11" s="102"/>
      <c r="J11" s="271"/>
      <c r="K11" s="272"/>
      <c r="L11" s="273"/>
      <c r="M11" s="102"/>
      <c r="N11" s="102"/>
      <c r="O11" s="102"/>
      <c r="P11" s="271"/>
      <c r="Q11" s="272"/>
      <c r="R11" s="273"/>
    </row>
    <row r="12" spans="2:19" ht="29" x14ac:dyDescent="0.35">
      <c r="B12" s="250" t="s">
        <v>825</v>
      </c>
      <c r="C12" s="324"/>
      <c r="D12" s="97" t="s">
        <v>826</v>
      </c>
      <c r="E12" s="7"/>
      <c r="F12" s="97" t="s">
        <v>827</v>
      </c>
      <c r="G12" s="103" t="s">
        <v>828</v>
      </c>
      <c r="H12" s="103" t="s">
        <v>829</v>
      </c>
      <c r="I12" s="103" t="s">
        <v>830</v>
      </c>
      <c r="J12" s="274" t="s">
        <v>810</v>
      </c>
      <c r="K12" s="103" t="s">
        <v>829</v>
      </c>
      <c r="L12" s="275" t="s">
        <v>830</v>
      </c>
      <c r="M12" s="103" t="s">
        <v>810</v>
      </c>
      <c r="N12" s="103" t="s">
        <v>829</v>
      </c>
      <c r="O12" s="103" t="s">
        <v>830</v>
      </c>
      <c r="P12" s="274" t="s">
        <v>810</v>
      </c>
      <c r="Q12" s="103" t="s">
        <v>829</v>
      </c>
      <c r="R12" s="275" t="s">
        <v>830</v>
      </c>
    </row>
    <row r="13" spans="2:19" x14ac:dyDescent="0.35">
      <c r="B13" s="251" t="s">
        <v>831</v>
      </c>
      <c r="C13" s="307">
        <f>SUM(C14:C15)</f>
        <v>0</v>
      </c>
      <c r="D13" s="121" t="s">
        <v>820</v>
      </c>
      <c r="E13" s="7"/>
      <c r="F13" s="122" t="s">
        <v>832</v>
      </c>
      <c r="G13" s="104">
        <f t="shared" ref="G13:R13" si="0">SUM(G14:G15)</f>
        <v>0</v>
      </c>
      <c r="H13" s="104">
        <f t="shared" si="0"/>
        <v>0</v>
      </c>
      <c r="I13" s="104">
        <f t="shared" si="0"/>
        <v>0</v>
      </c>
      <c r="J13" s="276">
        <f t="shared" si="0"/>
        <v>0</v>
      </c>
      <c r="K13" s="104">
        <f t="shared" si="0"/>
        <v>0</v>
      </c>
      <c r="L13" s="277">
        <f t="shared" si="0"/>
        <v>0</v>
      </c>
      <c r="M13" s="104">
        <f t="shared" si="0"/>
        <v>0</v>
      </c>
      <c r="N13" s="104">
        <f t="shared" si="0"/>
        <v>0</v>
      </c>
      <c r="O13" s="104">
        <f t="shared" si="0"/>
        <v>0</v>
      </c>
      <c r="P13" s="276">
        <f t="shared" si="0"/>
        <v>0</v>
      </c>
      <c r="Q13" s="104">
        <f t="shared" si="0"/>
        <v>0</v>
      </c>
      <c r="R13" s="277">
        <f t="shared" si="0"/>
        <v>0</v>
      </c>
    </row>
    <row r="14" spans="2:19" x14ac:dyDescent="0.35">
      <c r="B14" s="242" t="s">
        <v>833</v>
      </c>
      <c r="C14" s="308">
        <f>G14+J14+M14+P14</f>
        <v>0</v>
      </c>
      <c r="D14" s="72"/>
      <c r="E14" s="337"/>
      <c r="F14" s="72"/>
      <c r="G14" s="118">
        <f>SUM(H14:I14)</f>
        <v>0</v>
      </c>
      <c r="H14" s="118" t="s">
        <v>797</v>
      </c>
      <c r="I14" s="118" t="s">
        <v>797</v>
      </c>
      <c r="J14" s="305">
        <f>SUM(K14:L14)</f>
        <v>0</v>
      </c>
      <c r="K14" s="257" t="s">
        <v>797</v>
      </c>
      <c r="L14" s="265" t="s">
        <v>797</v>
      </c>
      <c r="M14" s="264">
        <f>SUM(N14:O14)</f>
        <v>0</v>
      </c>
      <c r="N14" s="118" t="s">
        <v>797</v>
      </c>
      <c r="O14" s="118" t="s">
        <v>797</v>
      </c>
      <c r="P14" s="305">
        <f t="shared" ref="P14:P15" si="1">SUM(Q14:R14)</f>
        <v>0</v>
      </c>
      <c r="Q14" s="257" t="s">
        <v>797</v>
      </c>
      <c r="R14" s="265" t="s">
        <v>797</v>
      </c>
    </row>
    <row r="15" spans="2:19" x14ac:dyDescent="0.35">
      <c r="B15" s="242" t="s">
        <v>834</v>
      </c>
      <c r="C15" s="308">
        <f>G15+J15+M15+P15</f>
        <v>0</v>
      </c>
      <c r="D15" s="72"/>
      <c r="E15" s="337"/>
      <c r="F15" s="72"/>
      <c r="G15" s="118">
        <f>SUM(H15:I15)</f>
        <v>0</v>
      </c>
      <c r="H15" s="118" t="s">
        <v>797</v>
      </c>
      <c r="I15" s="118" t="s">
        <v>797</v>
      </c>
      <c r="J15" s="264">
        <f>SUM(K15:L15)</f>
        <v>0</v>
      </c>
      <c r="K15" s="257" t="s">
        <v>797</v>
      </c>
      <c r="L15" s="265" t="s">
        <v>797</v>
      </c>
      <c r="M15" s="264">
        <f>SUM(N15:O15)</f>
        <v>0</v>
      </c>
      <c r="N15" s="118" t="s">
        <v>797</v>
      </c>
      <c r="O15" s="118" t="s">
        <v>797</v>
      </c>
      <c r="P15" s="264">
        <f t="shared" si="1"/>
        <v>0</v>
      </c>
      <c r="Q15" s="257" t="s">
        <v>797</v>
      </c>
      <c r="R15" s="265" t="s">
        <v>797</v>
      </c>
    </row>
    <row r="16" spans="2:19" x14ac:dyDescent="0.35">
      <c r="C16" s="310"/>
      <c r="E16" s="7"/>
      <c r="G16" s="105"/>
      <c r="H16" s="105"/>
      <c r="I16" s="105"/>
      <c r="J16" s="278"/>
      <c r="K16" s="279"/>
      <c r="L16" s="280"/>
      <c r="M16" s="105"/>
      <c r="N16" s="105"/>
      <c r="O16" s="105"/>
      <c r="P16" s="278"/>
      <c r="Q16" s="279"/>
      <c r="R16" s="280"/>
    </row>
    <row r="17" spans="2:18" ht="29" x14ac:dyDescent="0.35">
      <c r="B17" s="250" t="s">
        <v>835</v>
      </c>
      <c r="C17" s="325"/>
      <c r="D17" s="97" t="s">
        <v>826</v>
      </c>
      <c r="E17" s="7"/>
      <c r="F17" s="97" t="s">
        <v>827</v>
      </c>
      <c r="G17" s="106"/>
      <c r="H17" s="106"/>
      <c r="I17" s="106"/>
      <c r="J17" s="281"/>
      <c r="K17" s="106"/>
      <c r="L17" s="282"/>
      <c r="M17" s="106"/>
      <c r="N17" s="106"/>
      <c r="O17" s="106"/>
      <c r="P17" s="281"/>
      <c r="Q17" s="106"/>
      <c r="R17" s="282"/>
    </row>
    <row r="18" spans="2:18" x14ac:dyDescent="0.35">
      <c r="B18" s="252" t="s">
        <v>836</v>
      </c>
      <c r="C18" s="309">
        <f>SUM(C19:C20)</f>
        <v>0</v>
      </c>
      <c r="D18" s="121" t="s">
        <v>820</v>
      </c>
      <c r="E18" s="7"/>
      <c r="F18" s="122" t="s">
        <v>832</v>
      </c>
      <c r="G18" s="107">
        <f t="shared" ref="G18:R18" si="2">SUM(G19:G20)</f>
        <v>0</v>
      </c>
      <c r="H18" s="107">
        <f t="shared" si="2"/>
        <v>0</v>
      </c>
      <c r="I18" s="107">
        <f t="shared" si="2"/>
        <v>0</v>
      </c>
      <c r="J18" s="283">
        <f t="shared" si="2"/>
        <v>0</v>
      </c>
      <c r="K18" s="107">
        <f t="shared" si="2"/>
        <v>0</v>
      </c>
      <c r="L18" s="284">
        <f t="shared" si="2"/>
        <v>0</v>
      </c>
      <c r="M18" s="107">
        <f t="shared" si="2"/>
        <v>0</v>
      </c>
      <c r="N18" s="107">
        <f t="shared" si="2"/>
        <v>0</v>
      </c>
      <c r="O18" s="107">
        <f t="shared" si="2"/>
        <v>0</v>
      </c>
      <c r="P18" s="283">
        <f t="shared" si="2"/>
        <v>0</v>
      </c>
      <c r="Q18" s="107">
        <f t="shared" si="2"/>
        <v>0</v>
      </c>
      <c r="R18" s="284">
        <f t="shared" si="2"/>
        <v>0</v>
      </c>
    </row>
    <row r="19" spans="2:18" x14ac:dyDescent="0.35">
      <c r="B19" s="242" t="s">
        <v>837</v>
      </c>
      <c r="C19" s="308">
        <f>G19+J19+M19+P19</f>
        <v>0</v>
      </c>
      <c r="D19" s="72"/>
      <c r="E19" s="337"/>
      <c r="F19" s="72"/>
      <c r="G19" s="118">
        <f t="shared" ref="G19:G20" si="3">SUM(H19:I19)</f>
        <v>0</v>
      </c>
      <c r="H19" s="118" t="s">
        <v>797</v>
      </c>
      <c r="I19" s="118" t="s">
        <v>797</v>
      </c>
      <c r="J19" s="264">
        <f t="shared" ref="J19:J20" si="4">SUM(K19:L19)</f>
        <v>0</v>
      </c>
      <c r="K19" s="257" t="s">
        <v>797</v>
      </c>
      <c r="L19" s="265" t="s">
        <v>797</v>
      </c>
      <c r="M19" s="264">
        <f t="shared" ref="M19:M20" si="5">SUM(N19:O19)</f>
        <v>0</v>
      </c>
      <c r="N19" s="118" t="s">
        <v>797</v>
      </c>
      <c r="O19" s="118" t="s">
        <v>797</v>
      </c>
      <c r="P19" s="264">
        <f t="shared" ref="P19:P20" si="6">SUM(Q19:R19)</f>
        <v>0</v>
      </c>
      <c r="Q19" s="257" t="s">
        <v>797</v>
      </c>
      <c r="R19" s="265" t="s">
        <v>797</v>
      </c>
    </row>
    <row r="20" spans="2:18" x14ac:dyDescent="0.35">
      <c r="B20" s="242" t="s">
        <v>838</v>
      </c>
      <c r="C20" s="308">
        <f>G20+J20+M20+P20</f>
        <v>0</v>
      </c>
      <c r="D20" s="72"/>
      <c r="E20" s="337"/>
      <c r="F20" s="72"/>
      <c r="G20" s="118">
        <f t="shared" si="3"/>
        <v>0</v>
      </c>
      <c r="H20" s="118" t="s">
        <v>797</v>
      </c>
      <c r="I20" s="118" t="s">
        <v>797</v>
      </c>
      <c r="J20" s="264">
        <f t="shared" si="4"/>
        <v>0</v>
      </c>
      <c r="K20" s="257" t="s">
        <v>797</v>
      </c>
      <c r="L20" s="265" t="s">
        <v>797</v>
      </c>
      <c r="M20" s="264">
        <f t="shared" si="5"/>
        <v>0</v>
      </c>
      <c r="N20" s="118" t="s">
        <v>797</v>
      </c>
      <c r="O20" s="118" t="s">
        <v>797</v>
      </c>
      <c r="P20" s="264">
        <f t="shared" si="6"/>
        <v>0</v>
      </c>
      <c r="Q20" s="257" t="s">
        <v>797</v>
      </c>
      <c r="R20" s="265" t="s">
        <v>797</v>
      </c>
    </row>
    <row r="21" spans="2:18" x14ac:dyDescent="0.35">
      <c r="C21" s="310"/>
      <c r="E21" s="7"/>
      <c r="G21" s="105"/>
      <c r="H21" s="105"/>
      <c r="I21" s="105"/>
      <c r="J21" s="278"/>
      <c r="K21" s="279"/>
      <c r="L21" s="280"/>
      <c r="M21" s="105"/>
      <c r="N21" s="105"/>
      <c r="O21" s="105"/>
      <c r="P21" s="278"/>
      <c r="Q21" s="279"/>
      <c r="R21" s="280"/>
    </row>
    <row r="22" spans="2:18" x14ac:dyDescent="0.35">
      <c r="B22" s="252" t="s">
        <v>839</v>
      </c>
      <c r="C22" s="311">
        <f>SUM(C23:C25)</f>
        <v>0</v>
      </c>
      <c r="D22" s="121" t="s">
        <v>820</v>
      </c>
      <c r="E22" s="7"/>
      <c r="F22" s="122" t="s">
        <v>832</v>
      </c>
      <c r="G22" s="107">
        <f t="shared" ref="G22:R22" si="7">SUM(G23:G25)</f>
        <v>0</v>
      </c>
      <c r="H22" s="107">
        <f t="shared" si="7"/>
        <v>0</v>
      </c>
      <c r="I22" s="107">
        <f t="shared" si="7"/>
        <v>0</v>
      </c>
      <c r="J22" s="283">
        <f t="shared" si="7"/>
        <v>0</v>
      </c>
      <c r="K22" s="107">
        <f t="shared" si="7"/>
        <v>0</v>
      </c>
      <c r="L22" s="284">
        <f t="shared" si="7"/>
        <v>0</v>
      </c>
      <c r="M22" s="107">
        <f t="shared" si="7"/>
        <v>0</v>
      </c>
      <c r="N22" s="107">
        <f t="shared" si="7"/>
        <v>0</v>
      </c>
      <c r="O22" s="107">
        <f t="shared" si="7"/>
        <v>0</v>
      </c>
      <c r="P22" s="283">
        <f t="shared" si="7"/>
        <v>0</v>
      </c>
      <c r="Q22" s="107">
        <f t="shared" si="7"/>
        <v>0</v>
      </c>
      <c r="R22" s="284">
        <f t="shared" si="7"/>
        <v>0</v>
      </c>
    </row>
    <row r="23" spans="2:18" x14ac:dyDescent="0.35">
      <c r="B23" s="242" t="s">
        <v>840</v>
      </c>
      <c r="C23" s="308">
        <f>G23+J23+M23+P23</f>
        <v>0</v>
      </c>
      <c r="D23" s="72"/>
      <c r="E23" s="337"/>
      <c r="F23" s="72"/>
      <c r="G23" s="118">
        <f t="shared" ref="G23:G25" si="8">SUM(H23:I23)</f>
        <v>0</v>
      </c>
      <c r="H23" s="118" t="s">
        <v>797</v>
      </c>
      <c r="I23" s="118" t="s">
        <v>797</v>
      </c>
      <c r="J23" s="264">
        <f t="shared" ref="J23:J25" si="9">SUM(K23:L23)</f>
        <v>0</v>
      </c>
      <c r="K23" s="257" t="s">
        <v>797</v>
      </c>
      <c r="L23" s="265" t="s">
        <v>797</v>
      </c>
      <c r="M23" s="264">
        <f t="shared" ref="M23:M25" si="10">SUM(N23:O23)</f>
        <v>0</v>
      </c>
      <c r="N23" s="118" t="s">
        <v>797</v>
      </c>
      <c r="O23" s="118" t="s">
        <v>797</v>
      </c>
      <c r="P23" s="264">
        <f t="shared" ref="P23:P25" si="11">SUM(Q23:R23)</f>
        <v>0</v>
      </c>
      <c r="Q23" s="257" t="s">
        <v>797</v>
      </c>
      <c r="R23" s="265" t="s">
        <v>797</v>
      </c>
    </row>
    <row r="24" spans="2:18" x14ac:dyDescent="0.35">
      <c r="B24" s="242" t="s">
        <v>841</v>
      </c>
      <c r="C24" s="308">
        <f>G24+J24+M24+P24</f>
        <v>0</v>
      </c>
      <c r="D24" s="72"/>
      <c r="E24" s="337"/>
      <c r="F24" s="72"/>
      <c r="G24" s="118">
        <f t="shared" si="8"/>
        <v>0</v>
      </c>
      <c r="H24" s="118" t="s">
        <v>797</v>
      </c>
      <c r="I24" s="118" t="s">
        <v>797</v>
      </c>
      <c r="J24" s="264">
        <f t="shared" si="9"/>
        <v>0</v>
      </c>
      <c r="K24" s="257" t="s">
        <v>797</v>
      </c>
      <c r="L24" s="265" t="s">
        <v>797</v>
      </c>
      <c r="M24" s="264">
        <f t="shared" si="10"/>
        <v>0</v>
      </c>
      <c r="N24" s="118" t="s">
        <v>797</v>
      </c>
      <c r="O24" s="118" t="s">
        <v>797</v>
      </c>
      <c r="P24" s="264">
        <f t="shared" si="11"/>
        <v>0</v>
      </c>
      <c r="Q24" s="257" t="s">
        <v>797</v>
      </c>
      <c r="R24" s="265" t="s">
        <v>797</v>
      </c>
    </row>
    <row r="25" spans="2:18" x14ac:dyDescent="0.35">
      <c r="B25" s="242" t="s">
        <v>842</v>
      </c>
      <c r="C25" s="308">
        <f t="shared" ref="C25" si="12">G25+J25+M25+P25</f>
        <v>0</v>
      </c>
      <c r="D25" s="72"/>
      <c r="E25" s="337"/>
      <c r="F25" s="72"/>
      <c r="G25" s="118">
        <f t="shared" si="8"/>
        <v>0</v>
      </c>
      <c r="H25" s="118" t="s">
        <v>797</v>
      </c>
      <c r="I25" s="118" t="s">
        <v>797</v>
      </c>
      <c r="J25" s="264">
        <f t="shared" si="9"/>
        <v>0</v>
      </c>
      <c r="K25" s="257" t="s">
        <v>797</v>
      </c>
      <c r="L25" s="265" t="s">
        <v>797</v>
      </c>
      <c r="M25" s="264">
        <f t="shared" si="10"/>
        <v>0</v>
      </c>
      <c r="N25" s="118" t="s">
        <v>797</v>
      </c>
      <c r="O25" s="118" t="s">
        <v>797</v>
      </c>
      <c r="P25" s="264">
        <f t="shared" si="11"/>
        <v>0</v>
      </c>
      <c r="Q25" s="257" t="s">
        <v>797</v>
      </c>
      <c r="R25" s="265" t="s">
        <v>797</v>
      </c>
    </row>
    <row r="26" spans="2:18" x14ac:dyDescent="0.35">
      <c r="C26" s="312"/>
      <c r="E26" s="7"/>
      <c r="G26" s="108"/>
      <c r="H26" s="108"/>
      <c r="I26" s="108"/>
      <c r="J26" s="285"/>
      <c r="K26" s="258"/>
      <c r="L26" s="286"/>
      <c r="M26" s="108"/>
      <c r="N26" s="108"/>
      <c r="O26" s="108"/>
      <c r="P26" s="285"/>
      <c r="Q26" s="258"/>
      <c r="R26" s="286"/>
    </row>
    <row r="27" spans="2:18" x14ac:dyDescent="0.35">
      <c r="B27" s="252" t="s">
        <v>843</v>
      </c>
      <c r="C27" s="311">
        <f>SUM(C28:C30)</f>
        <v>0</v>
      </c>
      <c r="D27" s="121" t="s">
        <v>820</v>
      </c>
      <c r="E27" s="7"/>
      <c r="F27" s="122" t="s">
        <v>832</v>
      </c>
      <c r="G27" s="107">
        <f t="shared" ref="G27:R27" si="13">SUM(G28:G30)</f>
        <v>0</v>
      </c>
      <c r="H27" s="107">
        <f t="shared" si="13"/>
        <v>0</v>
      </c>
      <c r="I27" s="107">
        <f t="shared" si="13"/>
        <v>0</v>
      </c>
      <c r="J27" s="283">
        <f t="shared" si="13"/>
        <v>0</v>
      </c>
      <c r="K27" s="107">
        <f t="shared" si="13"/>
        <v>0</v>
      </c>
      <c r="L27" s="284">
        <f t="shared" si="13"/>
        <v>0</v>
      </c>
      <c r="M27" s="107">
        <f t="shared" si="13"/>
        <v>0</v>
      </c>
      <c r="N27" s="107">
        <f t="shared" si="13"/>
        <v>0</v>
      </c>
      <c r="O27" s="107">
        <f t="shared" si="13"/>
        <v>0</v>
      </c>
      <c r="P27" s="283">
        <f t="shared" si="13"/>
        <v>0</v>
      </c>
      <c r="Q27" s="107">
        <f t="shared" si="13"/>
        <v>0</v>
      </c>
      <c r="R27" s="284">
        <f t="shared" si="13"/>
        <v>0</v>
      </c>
    </row>
    <row r="28" spans="2:18" x14ac:dyDescent="0.35">
      <c r="B28" s="242" t="s">
        <v>844</v>
      </c>
      <c r="C28" s="308">
        <f>G28+J28+M28+P28</f>
        <v>0</v>
      </c>
      <c r="D28" s="72"/>
      <c r="E28" s="337"/>
      <c r="F28" s="72"/>
      <c r="G28" s="118">
        <f t="shared" ref="G28:G30" si="14">SUM(H28:I28)</f>
        <v>0</v>
      </c>
      <c r="H28" s="118" t="s">
        <v>797</v>
      </c>
      <c r="I28" s="118" t="s">
        <v>797</v>
      </c>
      <c r="J28" s="264">
        <f t="shared" ref="J28:J30" si="15">SUM(K28:L28)</f>
        <v>0</v>
      </c>
      <c r="K28" s="257" t="s">
        <v>797</v>
      </c>
      <c r="L28" s="265" t="s">
        <v>797</v>
      </c>
      <c r="M28" s="264">
        <f t="shared" ref="M28:M30" si="16">SUM(N28:O28)</f>
        <v>0</v>
      </c>
      <c r="N28" s="118" t="s">
        <v>797</v>
      </c>
      <c r="O28" s="118" t="s">
        <v>797</v>
      </c>
      <c r="P28" s="264">
        <f t="shared" ref="P28:P30" si="17">SUM(Q28:R28)</f>
        <v>0</v>
      </c>
      <c r="Q28" s="257" t="s">
        <v>797</v>
      </c>
      <c r="R28" s="265" t="s">
        <v>797</v>
      </c>
    </row>
    <row r="29" spans="2:18" x14ac:dyDescent="0.35">
      <c r="B29" s="242" t="s">
        <v>845</v>
      </c>
      <c r="C29" s="308">
        <f t="shared" ref="C29:C30" si="18">G29+J29+M29+P29</f>
        <v>0</v>
      </c>
      <c r="D29" s="72"/>
      <c r="E29" s="337"/>
      <c r="F29" s="72"/>
      <c r="G29" s="118">
        <f t="shared" si="14"/>
        <v>0</v>
      </c>
      <c r="H29" s="118" t="s">
        <v>797</v>
      </c>
      <c r="I29" s="118" t="s">
        <v>797</v>
      </c>
      <c r="J29" s="264">
        <f t="shared" si="15"/>
        <v>0</v>
      </c>
      <c r="K29" s="257" t="s">
        <v>797</v>
      </c>
      <c r="L29" s="265" t="s">
        <v>797</v>
      </c>
      <c r="M29" s="264">
        <f t="shared" si="16"/>
        <v>0</v>
      </c>
      <c r="N29" s="118" t="s">
        <v>797</v>
      </c>
      <c r="O29" s="118" t="s">
        <v>797</v>
      </c>
      <c r="P29" s="264">
        <f t="shared" si="17"/>
        <v>0</v>
      </c>
      <c r="Q29" s="257" t="s">
        <v>797</v>
      </c>
      <c r="R29" s="265" t="s">
        <v>797</v>
      </c>
    </row>
    <row r="30" spans="2:18" x14ac:dyDescent="0.35">
      <c r="B30" s="242" t="s">
        <v>846</v>
      </c>
      <c r="C30" s="308">
        <f t="shared" si="18"/>
        <v>0</v>
      </c>
      <c r="D30" s="72"/>
      <c r="E30" s="337"/>
      <c r="F30" s="72"/>
      <c r="G30" s="118">
        <f t="shared" si="14"/>
        <v>0</v>
      </c>
      <c r="H30" s="118" t="s">
        <v>797</v>
      </c>
      <c r="I30" s="118" t="s">
        <v>797</v>
      </c>
      <c r="J30" s="264">
        <f t="shared" si="15"/>
        <v>0</v>
      </c>
      <c r="K30" s="257" t="s">
        <v>797</v>
      </c>
      <c r="L30" s="265" t="s">
        <v>797</v>
      </c>
      <c r="M30" s="264">
        <f t="shared" si="16"/>
        <v>0</v>
      </c>
      <c r="N30" s="118" t="s">
        <v>797</v>
      </c>
      <c r="O30" s="118" t="s">
        <v>797</v>
      </c>
      <c r="P30" s="264">
        <f t="shared" si="17"/>
        <v>0</v>
      </c>
      <c r="Q30" s="257" t="s">
        <v>797</v>
      </c>
      <c r="R30" s="265" t="s">
        <v>797</v>
      </c>
    </row>
    <row r="31" spans="2:18" x14ac:dyDescent="0.35">
      <c r="C31" s="312"/>
      <c r="E31" s="7"/>
      <c r="G31" s="108"/>
      <c r="H31" s="108"/>
      <c r="I31" s="108"/>
      <c r="J31" s="285"/>
      <c r="K31" s="258"/>
      <c r="L31" s="286"/>
      <c r="M31" s="108"/>
      <c r="N31" s="108"/>
      <c r="O31" s="108"/>
      <c r="P31" s="285"/>
      <c r="Q31" s="258"/>
      <c r="R31" s="286"/>
    </row>
    <row r="32" spans="2:18" x14ac:dyDescent="0.35">
      <c r="B32" s="252" t="s">
        <v>847</v>
      </c>
      <c r="C32" s="311">
        <f>SUM(C33:C37)</f>
        <v>0</v>
      </c>
      <c r="D32" s="121" t="s">
        <v>820</v>
      </c>
      <c r="E32" s="7"/>
      <c r="F32" s="122" t="s">
        <v>832</v>
      </c>
      <c r="G32" s="107">
        <f t="shared" ref="G32:R32" si="19">SUM(G33:G37)</f>
        <v>0</v>
      </c>
      <c r="H32" s="107">
        <f t="shared" si="19"/>
        <v>0</v>
      </c>
      <c r="I32" s="107">
        <f t="shared" si="19"/>
        <v>0</v>
      </c>
      <c r="J32" s="283">
        <f t="shared" si="19"/>
        <v>0</v>
      </c>
      <c r="K32" s="107">
        <f t="shared" si="19"/>
        <v>0</v>
      </c>
      <c r="L32" s="284">
        <f t="shared" si="19"/>
        <v>0</v>
      </c>
      <c r="M32" s="107">
        <f t="shared" si="19"/>
        <v>0</v>
      </c>
      <c r="N32" s="107">
        <f t="shared" si="19"/>
        <v>0</v>
      </c>
      <c r="O32" s="107">
        <f t="shared" si="19"/>
        <v>0</v>
      </c>
      <c r="P32" s="283">
        <f t="shared" si="19"/>
        <v>0</v>
      </c>
      <c r="Q32" s="107">
        <f t="shared" si="19"/>
        <v>0</v>
      </c>
      <c r="R32" s="284">
        <f t="shared" si="19"/>
        <v>0</v>
      </c>
    </row>
    <row r="33" spans="2:18" x14ac:dyDescent="0.35">
      <c r="B33" s="242" t="s">
        <v>848</v>
      </c>
      <c r="C33" s="308">
        <f>G33+J33+M33+P33</f>
        <v>0</v>
      </c>
      <c r="D33" s="72"/>
      <c r="E33" s="337"/>
      <c r="F33" s="72"/>
      <c r="G33" s="118">
        <f t="shared" ref="G33:G37" si="20">SUM(H33:I33)</f>
        <v>0</v>
      </c>
      <c r="H33" s="118" t="s">
        <v>797</v>
      </c>
      <c r="I33" s="118" t="s">
        <v>797</v>
      </c>
      <c r="J33" s="264">
        <f t="shared" ref="J33:J37" si="21">SUM(K33:L33)</f>
        <v>0</v>
      </c>
      <c r="K33" s="257" t="s">
        <v>797</v>
      </c>
      <c r="L33" s="265" t="s">
        <v>797</v>
      </c>
      <c r="M33" s="264">
        <f t="shared" ref="M33:M37" si="22">SUM(N33:O33)</f>
        <v>0</v>
      </c>
      <c r="N33" s="118" t="s">
        <v>797</v>
      </c>
      <c r="O33" s="118" t="s">
        <v>797</v>
      </c>
      <c r="P33" s="264">
        <f t="shared" ref="P33:P37" si="23">SUM(Q33:R33)</f>
        <v>0</v>
      </c>
      <c r="Q33" s="257" t="s">
        <v>797</v>
      </c>
      <c r="R33" s="265" t="s">
        <v>797</v>
      </c>
    </row>
    <row r="34" spans="2:18" ht="29" x14ac:dyDescent="0.35">
      <c r="B34" s="242" t="s">
        <v>849</v>
      </c>
      <c r="C34" s="308">
        <f t="shared" ref="C34:C37" si="24">G34+J34+M34+P34</f>
        <v>0</v>
      </c>
      <c r="D34" s="72"/>
      <c r="E34" s="337"/>
      <c r="F34" s="72"/>
      <c r="G34" s="118">
        <f t="shared" si="20"/>
        <v>0</v>
      </c>
      <c r="H34" s="118" t="s">
        <v>797</v>
      </c>
      <c r="I34" s="118" t="s">
        <v>797</v>
      </c>
      <c r="J34" s="264">
        <f t="shared" si="21"/>
        <v>0</v>
      </c>
      <c r="K34" s="257" t="s">
        <v>797</v>
      </c>
      <c r="L34" s="265" t="s">
        <v>797</v>
      </c>
      <c r="M34" s="264">
        <f t="shared" si="22"/>
        <v>0</v>
      </c>
      <c r="N34" s="118" t="s">
        <v>797</v>
      </c>
      <c r="O34" s="118" t="s">
        <v>797</v>
      </c>
      <c r="P34" s="264">
        <f t="shared" si="23"/>
        <v>0</v>
      </c>
      <c r="Q34" s="257" t="s">
        <v>797</v>
      </c>
      <c r="R34" s="265" t="s">
        <v>797</v>
      </c>
    </row>
    <row r="35" spans="2:18" x14ac:dyDescent="0.35">
      <c r="B35" s="242" t="s">
        <v>850</v>
      </c>
      <c r="C35" s="308">
        <f t="shared" si="24"/>
        <v>0</v>
      </c>
      <c r="D35" s="72"/>
      <c r="E35" s="337"/>
      <c r="F35" s="72"/>
      <c r="G35" s="118">
        <f t="shared" si="20"/>
        <v>0</v>
      </c>
      <c r="H35" s="118" t="s">
        <v>797</v>
      </c>
      <c r="I35" s="118" t="s">
        <v>797</v>
      </c>
      <c r="J35" s="264">
        <f t="shared" si="21"/>
        <v>0</v>
      </c>
      <c r="K35" s="257" t="s">
        <v>797</v>
      </c>
      <c r="L35" s="265" t="s">
        <v>797</v>
      </c>
      <c r="M35" s="264">
        <f t="shared" si="22"/>
        <v>0</v>
      </c>
      <c r="N35" s="118" t="s">
        <v>797</v>
      </c>
      <c r="O35" s="118" t="s">
        <v>797</v>
      </c>
      <c r="P35" s="264">
        <f t="shared" si="23"/>
        <v>0</v>
      </c>
      <c r="Q35" s="257" t="s">
        <v>797</v>
      </c>
      <c r="R35" s="265" t="s">
        <v>797</v>
      </c>
    </row>
    <row r="36" spans="2:18" x14ac:dyDescent="0.35">
      <c r="B36" s="242" t="s">
        <v>851</v>
      </c>
      <c r="C36" s="308">
        <f t="shared" si="24"/>
        <v>0</v>
      </c>
      <c r="D36" s="72"/>
      <c r="E36" s="337"/>
      <c r="F36" s="72"/>
      <c r="G36" s="118">
        <f t="shared" si="20"/>
        <v>0</v>
      </c>
      <c r="H36" s="118" t="s">
        <v>797</v>
      </c>
      <c r="I36" s="118" t="s">
        <v>797</v>
      </c>
      <c r="J36" s="264">
        <f t="shared" si="21"/>
        <v>0</v>
      </c>
      <c r="K36" s="257" t="s">
        <v>797</v>
      </c>
      <c r="L36" s="265" t="s">
        <v>797</v>
      </c>
      <c r="M36" s="264">
        <f t="shared" si="22"/>
        <v>0</v>
      </c>
      <c r="N36" s="118" t="s">
        <v>797</v>
      </c>
      <c r="O36" s="118" t="s">
        <v>797</v>
      </c>
      <c r="P36" s="264">
        <f t="shared" si="23"/>
        <v>0</v>
      </c>
      <c r="Q36" s="257" t="s">
        <v>797</v>
      </c>
      <c r="R36" s="265" t="s">
        <v>797</v>
      </c>
    </row>
    <row r="37" spans="2:18" ht="29" x14ac:dyDescent="0.35">
      <c r="B37" s="242" t="s">
        <v>852</v>
      </c>
      <c r="C37" s="308">
        <f t="shared" si="24"/>
        <v>0</v>
      </c>
      <c r="D37" s="72"/>
      <c r="E37" s="337"/>
      <c r="F37" s="72"/>
      <c r="G37" s="118">
        <f t="shared" si="20"/>
        <v>0</v>
      </c>
      <c r="H37" s="118" t="s">
        <v>797</v>
      </c>
      <c r="I37" s="118" t="s">
        <v>797</v>
      </c>
      <c r="J37" s="264">
        <f t="shared" si="21"/>
        <v>0</v>
      </c>
      <c r="K37" s="257" t="s">
        <v>797</v>
      </c>
      <c r="L37" s="265" t="s">
        <v>797</v>
      </c>
      <c r="M37" s="264">
        <f t="shared" si="22"/>
        <v>0</v>
      </c>
      <c r="N37" s="118" t="s">
        <v>797</v>
      </c>
      <c r="O37" s="118" t="s">
        <v>797</v>
      </c>
      <c r="P37" s="264">
        <f t="shared" si="23"/>
        <v>0</v>
      </c>
      <c r="Q37" s="257" t="s">
        <v>797</v>
      </c>
      <c r="R37" s="265" t="s">
        <v>797</v>
      </c>
    </row>
    <row r="38" spans="2:18" x14ac:dyDescent="0.35">
      <c r="C38" s="312"/>
      <c r="E38" s="7"/>
      <c r="G38" s="108"/>
      <c r="H38" s="108"/>
      <c r="I38" s="108"/>
      <c r="J38" s="285"/>
      <c r="K38" s="258"/>
      <c r="L38" s="286"/>
      <c r="M38" s="108"/>
      <c r="N38" s="108"/>
      <c r="O38" s="108"/>
      <c r="P38" s="285"/>
      <c r="Q38" s="258"/>
      <c r="R38" s="286"/>
    </row>
    <row r="39" spans="2:18" x14ac:dyDescent="0.35">
      <c r="B39" s="252" t="s">
        <v>853</v>
      </c>
      <c r="C39" s="311">
        <f>SUM(C40:C42)</f>
        <v>0</v>
      </c>
      <c r="D39" s="121" t="s">
        <v>820</v>
      </c>
      <c r="E39" s="7"/>
      <c r="F39" s="122" t="s">
        <v>832</v>
      </c>
      <c r="G39" s="107">
        <f t="shared" ref="G39:R39" si="25">SUM(G40:G42)</f>
        <v>0</v>
      </c>
      <c r="H39" s="107">
        <f t="shared" si="25"/>
        <v>0</v>
      </c>
      <c r="I39" s="107">
        <f t="shared" si="25"/>
        <v>0</v>
      </c>
      <c r="J39" s="283">
        <f t="shared" si="25"/>
        <v>0</v>
      </c>
      <c r="K39" s="107">
        <f t="shared" si="25"/>
        <v>0</v>
      </c>
      <c r="L39" s="284">
        <f t="shared" si="25"/>
        <v>0</v>
      </c>
      <c r="M39" s="107">
        <f t="shared" si="25"/>
        <v>0</v>
      </c>
      <c r="N39" s="107">
        <f t="shared" si="25"/>
        <v>0</v>
      </c>
      <c r="O39" s="107">
        <f t="shared" si="25"/>
        <v>0</v>
      </c>
      <c r="P39" s="283">
        <f t="shared" si="25"/>
        <v>0</v>
      </c>
      <c r="Q39" s="107">
        <f t="shared" si="25"/>
        <v>0</v>
      </c>
      <c r="R39" s="284">
        <f t="shared" si="25"/>
        <v>0</v>
      </c>
    </row>
    <row r="40" spans="2:18" x14ac:dyDescent="0.35">
      <c r="B40" s="242" t="s">
        <v>854</v>
      </c>
      <c r="C40" s="308">
        <f>G40+J40+M40+P40</f>
        <v>0</v>
      </c>
      <c r="D40" s="72"/>
      <c r="E40" s="337"/>
      <c r="F40" s="72"/>
      <c r="G40" s="118">
        <f t="shared" ref="G40:G42" si="26">SUM(H40:I40)</f>
        <v>0</v>
      </c>
      <c r="H40" s="118" t="s">
        <v>797</v>
      </c>
      <c r="I40" s="118" t="s">
        <v>797</v>
      </c>
      <c r="J40" s="264">
        <f t="shared" ref="J40:J42" si="27">SUM(K40:L40)</f>
        <v>0</v>
      </c>
      <c r="K40" s="257" t="s">
        <v>797</v>
      </c>
      <c r="L40" s="265" t="s">
        <v>797</v>
      </c>
      <c r="M40" s="264">
        <f t="shared" ref="M40:M42" si="28">SUM(N40:O40)</f>
        <v>0</v>
      </c>
      <c r="N40" s="118" t="s">
        <v>797</v>
      </c>
      <c r="O40" s="118" t="s">
        <v>797</v>
      </c>
      <c r="P40" s="264">
        <f t="shared" ref="P40:P42" si="29">SUM(Q40:R40)</f>
        <v>0</v>
      </c>
      <c r="Q40" s="257" t="s">
        <v>797</v>
      </c>
      <c r="R40" s="265" t="s">
        <v>797</v>
      </c>
    </row>
    <row r="41" spans="2:18" x14ac:dyDescent="0.35">
      <c r="B41" s="242" t="s">
        <v>855</v>
      </c>
      <c r="C41" s="308">
        <f t="shared" ref="C41:C42" si="30">G41+J41+M41+P41</f>
        <v>0</v>
      </c>
      <c r="D41" s="72"/>
      <c r="E41" s="337"/>
      <c r="F41" s="72"/>
      <c r="G41" s="118">
        <f t="shared" si="26"/>
        <v>0</v>
      </c>
      <c r="H41" s="118" t="s">
        <v>797</v>
      </c>
      <c r="I41" s="118" t="s">
        <v>797</v>
      </c>
      <c r="J41" s="264">
        <f t="shared" si="27"/>
        <v>0</v>
      </c>
      <c r="K41" s="257" t="s">
        <v>797</v>
      </c>
      <c r="L41" s="265" t="s">
        <v>797</v>
      </c>
      <c r="M41" s="264">
        <f t="shared" si="28"/>
        <v>0</v>
      </c>
      <c r="N41" s="118" t="s">
        <v>797</v>
      </c>
      <c r="O41" s="118" t="s">
        <v>797</v>
      </c>
      <c r="P41" s="264">
        <f t="shared" si="29"/>
        <v>0</v>
      </c>
      <c r="Q41" s="257" t="s">
        <v>797</v>
      </c>
      <c r="R41" s="265" t="s">
        <v>797</v>
      </c>
    </row>
    <row r="42" spans="2:18" x14ac:dyDescent="0.35">
      <c r="B42" s="242" t="s">
        <v>856</v>
      </c>
      <c r="C42" s="308">
        <f t="shared" si="30"/>
        <v>0</v>
      </c>
      <c r="D42" s="72"/>
      <c r="E42" s="337"/>
      <c r="F42" s="72"/>
      <c r="G42" s="118">
        <f t="shared" si="26"/>
        <v>0</v>
      </c>
      <c r="H42" s="118" t="s">
        <v>797</v>
      </c>
      <c r="I42" s="118" t="s">
        <v>797</v>
      </c>
      <c r="J42" s="264">
        <f t="shared" si="27"/>
        <v>0</v>
      </c>
      <c r="K42" s="257" t="s">
        <v>797</v>
      </c>
      <c r="L42" s="265" t="s">
        <v>797</v>
      </c>
      <c r="M42" s="264">
        <f t="shared" si="28"/>
        <v>0</v>
      </c>
      <c r="N42" s="118" t="s">
        <v>797</v>
      </c>
      <c r="O42" s="118" t="s">
        <v>797</v>
      </c>
      <c r="P42" s="264">
        <f t="shared" si="29"/>
        <v>0</v>
      </c>
      <c r="Q42" s="257" t="s">
        <v>797</v>
      </c>
      <c r="R42" s="265" t="s">
        <v>797</v>
      </c>
    </row>
    <row r="43" spans="2:18" x14ac:dyDescent="0.35">
      <c r="C43" s="312"/>
      <c r="E43" s="7"/>
      <c r="G43" s="108"/>
      <c r="H43" s="108"/>
      <c r="I43" s="108"/>
      <c r="J43" s="285"/>
      <c r="K43" s="258"/>
      <c r="L43" s="286"/>
      <c r="M43" s="108"/>
      <c r="N43" s="108"/>
      <c r="O43" s="108"/>
      <c r="P43" s="285"/>
      <c r="Q43" s="258"/>
      <c r="R43" s="286"/>
    </row>
    <row r="44" spans="2:18" x14ac:dyDescent="0.35">
      <c r="B44" s="252" t="s">
        <v>857</v>
      </c>
      <c r="C44" s="311">
        <f>SUM(C45:C46)</f>
        <v>0</v>
      </c>
      <c r="D44" s="121" t="s">
        <v>820</v>
      </c>
      <c r="E44" s="7"/>
      <c r="F44" s="122" t="s">
        <v>832</v>
      </c>
      <c r="G44" s="107">
        <f t="shared" ref="G44:R44" si="31">SUM(G45:G46)</f>
        <v>0</v>
      </c>
      <c r="H44" s="107">
        <f t="shared" si="31"/>
        <v>0</v>
      </c>
      <c r="I44" s="107">
        <f t="shared" si="31"/>
        <v>0</v>
      </c>
      <c r="J44" s="283">
        <f t="shared" si="31"/>
        <v>0</v>
      </c>
      <c r="K44" s="107">
        <f t="shared" si="31"/>
        <v>0</v>
      </c>
      <c r="L44" s="284">
        <f t="shared" si="31"/>
        <v>0</v>
      </c>
      <c r="M44" s="107">
        <f t="shared" si="31"/>
        <v>0</v>
      </c>
      <c r="N44" s="107">
        <f t="shared" si="31"/>
        <v>0</v>
      </c>
      <c r="O44" s="107">
        <f t="shared" si="31"/>
        <v>0</v>
      </c>
      <c r="P44" s="283">
        <f t="shared" si="31"/>
        <v>0</v>
      </c>
      <c r="Q44" s="107">
        <f t="shared" si="31"/>
        <v>0</v>
      </c>
      <c r="R44" s="284">
        <f t="shared" si="31"/>
        <v>0</v>
      </c>
    </row>
    <row r="45" spans="2:18" ht="29" x14ac:dyDescent="0.35">
      <c r="B45" s="242" t="s">
        <v>858</v>
      </c>
      <c r="C45" s="308">
        <f>G45+J45+M45+P45</f>
        <v>0</v>
      </c>
      <c r="D45" s="72"/>
      <c r="E45" s="337"/>
      <c r="F45" s="72"/>
      <c r="G45" s="118">
        <f t="shared" ref="G45:G46" si="32">SUM(H45:I45)</f>
        <v>0</v>
      </c>
      <c r="H45" s="118" t="s">
        <v>797</v>
      </c>
      <c r="I45" s="118" t="s">
        <v>797</v>
      </c>
      <c r="J45" s="264">
        <f t="shared" ref="J45:J46" si="33">SUM(K45:L45)</f>
        <v>0</v>
      </c>
      <c r="K45" s="257" t="s">
        <v>797</v>
      </c>
      <c r="L45" s="265" t="s">
        <v>797</v>
      </c>
      <c r="M45" s="264">
        <f t="shared" ref="M45:M46" si="34">SUM(N45:O45)</f>
        <v>0</v>
      </c>
      <c r="N45" s="118" t="s">
        <v>797</v>
      </c>
      <c r="O45" s="118" t="s">
        <v>797</v>
      </c>
      <c r="P45" s="264">
        <f t="shared" ref="P45:P46" si="35">SUM(Q45:R45)</f>
        <v>0</v>
      </c>
      <c r="Q45" s="257" t="s">
        <v>797</v>
      </c>
      <c r="R45" s="265" t="s">
        <v>797</v>
      </c>
    </row>
    <row r="46" spans="2:18" ht="29" x14ac:dyDescent="0.35">
      <c r="B46" s="242" t="s">
        <v>859</v>
      </c>
      <c r="C46" s="308">
        <f>G46+J46+M46+P46</f>
        <v>0</v>
      </c>
      <c r="D46" s="72"/>
      <c r="E46" s="337"/>
      <c r="F46" s="72"/>
      <c r="G46" s="118">
        <f t="shared" si="32"/>
        <v>0</v>
      </c>
      <c r="H46" s="118" t="s">
        <v>797</v>
      </c>
      <c r="I46" s="118" t="s">
        <v>797</v>
      </c>
      <c r="J46" s="264">
        <f t="shared" si="33"/>
        <v>0</v>
      </c>
      <c r="K46" s="257" t="s">
        <v>797</v>
      </c>
      <c r="L46" s="265" t="s">
        <v>797</v>
      </c>
      <c r="M46" s="264">
        <f t="shared" si="34"/>
        <v>0</v>
      </c>
      <c r="N46" s="118" t="s">
        <v>797</v>
      </c>
      <c r="O46" s="118" t="s">
        <v>797</v>
      </c>
      <c r="P46" s="264">
        <f t="shared" si="35"/>
        <v>0</v>
      </c>
      <c r="Q46" s="257" t="s">
        <v>797</v>
      </c>
      <c r="R46" s="265" t="s">
        <v>797</v>
      </c>
    </row>
    <row r="47" spans="2:18" x14ac:dyDescent="0.35">
      <c r="C47" s="312"/>
      <c r="E47" s="7"/>
      <c r="G47" s="108"/>
      <c r="H47" s="108"/>
      <c r="I47" s="108"/>
      <c r="J47" s="285"/>
      <c r="K47" s="258"/>
      <c r="L47" s="286"/>
      <c r="M47" s="108"/>
      <c r="N47" s="108"/>
      <c r="O47" s="108"/>
      <c r="P47" s="285"/>
      <c r="Q47" s="258"/>
      <c r="R47" s="286"/>
    </row>
    <row r="48" spans="2:18" x14ac:dyDescent="0.35">
      <c r="B48" s="252" t="s">
        <v>860</v>
      </c>
      <c r="C48" s="311">
        <f>SUM(C49:C51)</f>
        <v>0</v>
      </c>
      <c r="D48" s="121" t="s">
        <v>820</v>
      </c>
      <c r="E48" s="7"/>
      <c r="F48" s="122" t="s">
        <v>832</v>
      </c>
      <c r="G48" s="107">
        <f t="shared" ref="G48:R48" si="36">SUM(G49:G51)</f>
        <v>0</v>
      </c>
      <c r="H48" s="107">
        <f t="shared" si="36"/>
        <v>0</v>
      </c>
      <c r="I48" s="107">
        <f t="shared" si="36"/>
        <v>0</v>
      </c>
      <c r="J48" s="283">
        <f t="shared" si="36"/>
        <v>0</v>
      </c>
      <c r="K48" s="107">
        <f t="shared" si="36"/>
        <v>0</v>
      </c>
      <c r="L48" s="284">
        <f t="shared" si="36"/>
        <v>0</v>
      </c>
      <c r="M48" s="107">
        <f t="shared" si="36"/>
        <v>0</v>
      </c>
      <c r="N48" s="107">
        <f t="shared" si="36"/>
        <v>0</v>
      </c>
      <c r="O48" s="107">
        <f t="shared" si="36"/>
        <v>0</v>
      </c>
      <c r="P48" s="283">
        <f t="shared" si="36"/>
        <v>0</v>
      </c>
      <c r="Q48" s="107">
        <f t="shared" si="36"/>
        <v>0</v>
      </c>
      <c r="R48" s="284">
        <f t="shared" si="36"/>
        <v>0</v>
      </c>
    </row>
    <row r="49" spans="2:18" x14ac:dyDescent="0.35">
      <c r="B49" s="242" t="s">
        <v>861</v>
      </c>
      <c r="C49" s="308">
        <f>G49+J49+M49+P49</f>
        <v>0</v>
      </c>
      <c r="D49" s="72"/>
      <c r="E49" s="337"/>
      <c r="F49" s="72"/>
      <c r="G49" s="118">
        <f t="shared" ref="G49:G51" si="37">SUM(H49:I49)</f>
        <v>0</v>
      </c>
      <c r="H49" s="118" t="s">
        <v>797</v>
      </c>
      <c r="I49" s="118" t="s">
        <v>797</v>
      </c>
      <c r="J49" s="264">
        <f t="shared" ref="J49:J53" si="38">SUM(K49:L49)</f>
        <v>0</v>
      </c>
      <c r="K49" s="257" t="s">
        <v>797</v>
      </c>
      <c r="L49" s="265" t="s">
        <v>797</v>
      </c>
      <c r="M49" s="264">
        <f t="shared" ref="M49:M51" si="39">SUM(N49:O49)</f>
        <v>0</v>
      </c>
      <c r="N49" s="118" t="s">
        <v>797</v>
      </c>
      <c r="O49" s="118" t="s">
        <v>797</v>
      </c>
      <c r="P49" s="264">
        <f t="shared" ref="P49:P51" si="40">SUM(Q49:R49)</f>
        <v>0</v>
      </c>
      <c r="Q49" s="257" t="s">
        <v>797</v>
      </c>
      <c r="R49" s="265" t="s">
        <v>797</v>
      </c>
    </row>
    <row r="50" spans="2:18" ht="29" x14ac:dyDescent="0.35">
      <c r="B50" s="242" t="s">
        <v>862</v>
      </c>
      <c r="C50" s="308">
        <f t="shared" ref="C50:C51" si="41">G50+J50+M50+P50</f>
        <v>0</v>
      </c>
      <c r="D50" s="72"/>
      <c r="E50" s="337"/>
      <c r="F50" s="72"/>
      <c r="G50" s="118">
        <f t="shared" si="37"/>
        <v>0</v>
      </c>
      <c r="H50" s="118" t="s">
        <v>797</v>
      </c>
      <c r="I50" s="118" t="s">
        <v>797</v>
      </c>
      <c r="J50" s="264">
        <f t="shared" si="38"/>
        <v>0</v>
      </c>
      <c r="K50" s="257" t="s">
        <v>797</v>
      </c>
      <c r="L50" s="265" t="s">
        <v>797</v>
      </c>
      <c r="M50" s="264">
        <f t="shared" si="39"/>
        <v>0</v>
      </c>
      <c r="N50" s="118" t="s">
        <v>797</v>
      </c>
      <c r="O50" s="118" t="s">
        <v>797</v>
      </c>
      <c r="P50" s="264">
        <f t="shared" si="40"/>
        <v>0</v>
      </c>
      <c r="Q50" s="257" t="s">
        <v>797</v>
      </c>
      <c r="R50" s="265" t="s">
        <v>797</v>
      </c>
    </row>
    <row r="51" spans="2:18" ht="29" x14ac:dyDescent="0.35">
      <c r="B51" s="242" t="s">
        <v>863</v>
      </c>
      <c r="C51" s="308">
        <f t="shared" si="41"/>
        <v>0</v>
      </c>
      <c r="D51" s="72"/>
      <c r="E51" s="337"/>
      <c r="F51" s="72"/>
      <c r="G51" s="118">
        <f t="shared" si="37"/>
        <v>0</v>
      </c>
      <c r="H51" s="118" t="s">
        <v>797</v>
      </c>
      <c r="I51" s="118" t="s">
        <v>797</v>
      </c>
      <c r="J51" s="264">
        <f t="shared" si="38"/>
        <v>0</v>
      </c>
      <c r="K51" s="257" t="s">
        <v>797</v>
      </c>
      <c r="L51" s="265" t="s">
        <v>797</v>
      </c>
      <c r="M51" s="264">
        <f t="shared" si="39"/>
        <v>0</v>
      </c>
      <c r="N51" s="118" t="s">
        <v>797</v>
      </c>
      <c r="O51" s="118" t="s">
        <v>797</v>
      </c>
      <c r="P51" s="264">
        <f t="shared" si="40"/>
        <v>0</v>
      </c>
      <c r="Q51" s="257" t="s">
        <v>797</v>
      </c>
      <c r="R51" s="265" t="s">
        <v>797</v>
      </c>
    </row>
    <row r="52" spans="2:18" x14ac:dyDescent="0.35">
      <c r="C52" s="312"/>
      <c r="E52" s="7"/>
      <c r="G52" s="108"/>
      <c r="H52" s="108"/>
      <c r="I52" s="108"/>
      <c r="J52" s="285"/>
      <c r="K52" s="258"/>
      <c r="L52" s="286"/>
      <c r="M52" s="108"/>
      <c r="N52" s="108"/>
      <c r="O52" s="108"/>
      <c r="P52" s="285"/>
      <c r="Q52" s="258"/>
      <c r="R52" s="286"/>
    </row>
    <row r="53" spans="2:18" x14ac:dyDescent="0.35">
      <c r="B53" s="251" t="s">
        <v>96</v>
      </c>
      <c r="C53" s="326">
        <f>G53+J53+M53+P53</f>
        <v>0</v>
      </c>
      <c r="D53" s="342"/>
      <c r="E53" s="337"/>
      <c r="F53" s="342"/>
      <c r="G53" s="119">
        <f>SUM(H53:I53)</f>
        <v>0</v>
      </c>
      <c r="H53" s="119" t="s">
        <v>797</v>
      </c>
      <c r="I53" s="119" t="s">
        <v>797</v>
      </c>
      <c r="J53" s="287">
        <f t="shared" si="38"/>
        <v>0</v>
      </c>
      <c r="K53" s="119" t="s">
        <v>797</v>
      </c>
      <c r="L53" s="288" t="s">
        <v>797</v>
      </c>
      <c r="M53" s="119">
        <f t="shared" ref="M53" si="42">SUM(N53:O53)</f>
        <v>0</v>
      </c>
      <c r="N53" s="119" t="s">
        <v>797</v>
      </c>
      <c r="O53" s="119" t="s">
        <v>797</v>
      </c>
      <c r="P53" s="287">
        <f t="shared" ref="P53" si="43">SUM(Q53:R53)</f>
        <v>0</v>
      </c>
      <c r="Q53" s="119" t="s">
        <v>797</v>
      </c>
      <c r="R53" s="288" t="s">
        <v>797</v>
      </c>
    </row>
    <row r="54" spans="2:18" x14ac:dyDescent="0.35">
      <c r="B54" s="242" t="s">
        <v>97</v>
      </c>
      <c r="C54" s="313" t="str">
        <f>IFERROR(IFERROR(C53+0,0)/(IFERROR(C18+0,0)+IFERROR(C22+0,0)+IFERROR(C27+0,0)+IFERROR(C32+0,0)+IFERROR(C39+0,0)+IFERROR(C44+0,0)+IFERROR(C48+0,0)+IFERROR(C13+0,0)),"-")</f>
        <v>-</v>
      </c>
      <c r="D54" s="72"/>
      <c r="E54" s="337"/>
      <c r="F54" s="72"/>
      <c r="G54" s="114" t="str">
        <f t="shared" ref="G54:R54" si="44">IFERROR(IFERROR(G53+0,0)/(IFERROR(G18+0,0)+IFERROR(G22+0,0)+IFERROR(G27+0,0)+IFERROR(G32+0,0)+IFERROR(G39+0,0)+IFERROR(G44+0,0)+IFERROR(G48+0,0)+IFERROR(G13+0,0)),"-")</f>
        <v>-</v>
      </c>
      <c r="H54" s="114" t="str">
        <f t="shared" si="44"/>
        <v>-</v>
      </c>
      <c r="I54" s="114" t="str">
        <f t="shared" si="44"/>
        <v>-</v>
      </c>
      <c r="J54" s="289" t="str">
        <f t="shared" si="44"/>
        <v>-</v>
      </c>
      <c r="K54" s="290" t="str">
        <f t="shared" si="44"/>
        <v>-</v>
      </c>
      <c r="L54" s="291" t="str">
        <f t="shared" si="44"/>
        <v>-</v>
      </c>
      <c r="M54" s="114" t="str">
        <f t="shared" si="44"/>
        <v>-</v>
      </c>
      <c r="N54" s="114" t="str">
        <f t="shared" si="44"/>
        <v>-</v>
      </c>
      <c r="O54" s="114" t="str">
        <f t="shared" si="44"/>
        <v>-</v>
      </c>
      <c r="P54" s="289" t="str">
        <f t="shared" si="44"/>
        <v>-</v>
      </c>
      <c r="Q54" s="290" t="str">
        <f t="shared" si="44"/>
        <v>-</v>
      </c>
      <c r="R54" s="291" t="str">
        <f t="shared" si="44"/>
        <v>-</v>
      </c>
    </row>
    <row r="55" spans="2:18" x14ac:dyDescent="0.35">
      <c r="B55" s="253"/>
      <c r="C55" s="314"/>
      <c r="D55" s="115"/>
      <c r="E55" s="7"/>
      <c r="F55" s="115"/>
      <c r="G55" s="109"/>
      <c r="H55" s="109"/>
      <c r="I55" s="109"/>
      <c r="J55" s="292"/>
      <c r="K55" s="109"/>
      <c r="L55" s="293"/>
      <c r="M55" s="109"/>
      <c r="N55" s="109"/>
      <c r="O55" s="109"/>
      <c r="P55" s="292"/>
      <c r="Q55" s="109"/>
      <c r="R55" s="293"/>
    </row>
    <row r="56" spans="2:18" x14ac:dyDescent="0.35">
      <c r="B56" s="248" t="s">
        <v>864</v>
      </c>
      <c r="C56" s="315">
        <f>IFERROR(C18+0,0)+IFERROR(C22+0,0)+IFERROR(C27+0,0)+IFERROR(C32+0,0)+IFERROR(C39+0,0)+IFERROR(C44+0,0)+IFERROR(C48+0,0)+IFERROR(C53+0,0)+IFERROR(C13+0,0)</f>
        <v>0</v>
      </c>
      <c r="D56" s="71"/>
      <c r="E56" s="7"/>
      <c r="F56" s="71"/>
      <c r="G56" s="101">
        <f t="shared" ref="G56:R56" si="45">IFERROR(G18+0,0)+IFERROR(G22+0,0)+IFERROR(G27+0,0)+IFERROR(G32+0,0)+IFERROR(G39+0,0)+IFERROR(G44+0,0)+IFERROR(G48+0,0)+IFERROR(G53+0,0)+IFERROR(G13+0,0)</f>
        <v>0</v>
      </c>
      <c r="H56" s="101">
        <f t="shared" si="45"/>
        <v>0</v>
      </c>
      <c r="I56" s="101">
        <f t="shared" si="45"/>
        <v>0</v>
      </c>
      <c r="J56" s="268">
        <f t="shared" si="45"/>
        <v>0</v>
      </c>
      <c r="K56" s="269">
        <f t="shared" si="45"/>
        <v>0</v>
      </c>
      <c r="L56" s="270">
        <f t="shared" si="45"/>
        <v>0</v>
      </c>
      <c r="M56" s="101">
        <f t="shared" si="45"/>
        <v>0</v>
      </c>
      <c r="N56" s="101">
        <f t="shared" si="45"/>
        <v>0</v>
      </c>
      <c r="O56" s="101">
        <f t="shared" si="45"/>
        <v>0</v>
      </c>
      <c r="P56" s="268">
        <f t="shared" si="45"/>
        <v>0</v>
      </c>
      <c r="Q56" s="269">
        <f t="shared" si="45"/>
        <v>0</v>
      </c>
      <c r="R56" s="270">
        <f t="shared" si="45"/>
        <v>0</v>
      </c>
    </row>
    <row r="57" spans="2:18" x14ac:dyDescent="0.35">
      <c r="C57" s="312"/>
      <c r="E57" s="7"/>
      <c r="G57" s="108"/>
      <c r="H57" s="108"/>
      <c r="I57" s="108"/>
      <c r="J57" s="285"/>
      <c r="K57" s="258"/>
      <c r="L57" s="286"/>
      <c r="M57" s="108"/>
      <c r="N57" s="108"/>
      <c r="O57" s="108"/>
      <c r="P57" s="285"/>
      <c r="Q57" s="258"/>
      <c r="R57" s="286"/>
    </row>
    <row r="58" spans="2:18" ht="29" x14ac:dyDescent="0.35">
      <c r="B58" s="250" t="s">
        <v>865</v>
      </c>
      <c r="C58" s="321"/>
      <c r="D58" s="96" t="s">
        <v>826</v>
      </c>
      <c r="E58" s="7"/>
      <c r="F58" s="96" t="s">
        <v>827</v>
      </c>
      <c r="G58" s="100"/>
      <c r="H58" s="100"/>
      <c r="I58" s="100"/>
      <c r="J58" s="262"/>
      <c r="K58" s="100"/>
      <c r="L58" s="263"/>
      <c r="M58" s="100"/>
      <c r="N58" s="100"/>
      <c r="O58" s="100"/>
      <c r="P58" s="262"/>
      <c r="Q58" s="100"/>
      <c r="R58" s="263"/>
    </row>
    <row r="59" spans="2:18" x14ac:dyDescent="0.35">
      <c r="B59" s="251" t="s">
        <v>866</v>
      </c>
      <c r="C59" s="307">
        <f>SUM(C60:C64)</f>
        <v>0</v>
      </c>
      <c r="D59" s="121" t="s">
        <v>820</v>
      </c>
      <c r="E59" s="7"/>
      <c r="F59" s="122" t="s">
        <v>832</v>
      </c>
      <c r="G59" s="104">
        <f t="shared" ref="G59:R59" si="46">SUM(G60:G64)</f>
        <v>0</v>
      </c>
      <c r="H59" s="104">
        <f t="shared" si="46"/>
        <v>0</v>
      </c>
      <c r="I59" s="104">
        <f t="shared" si="46"/>
        <v>0</v>
      </c>
      <c r="J59" s="276">
        <f t="shared" si="46"/>
        <v>0</v>
      </c>
      <c r="K59" s="104">
        <f t="shared" si="46"/>
        <v>0</v>
      </c>
      <c r="L59" s="277">
        <f t="shared" si="46"/>
        <v>0</v>
      </c>
      <c r="M59" s="104">
        <f t="shared" si="46"/>
        <v>0</v>
      </c>
      <c r="N59" s="104">
        <f t="shared" si="46"/>
        <v>0</v>
      </c>
      <c r="O59" s="104">
        <f t="shared" si="46"/>
        <v>0</v>
      </c>
      <c r="P59" s="276">
        <f t="shared" si="46"/>
        <v>0</v>
      </c>
      <c r="Q59" s="104">
        <f t="shared" si="46"/>
        <v>0</v>
      </c>
      <c r="R59" s="277">
        <f t="shared" si="46"/>
        <v>0</v>
      </c>
    </row>
    <row r="60" spans="2:18" ht="29" x14ac:dyDescent="0.35">
      <c r="B60" s="242" t="s">
        <v>867</v>
      </c>
      <c r="C60" s="308">
        <f>G60+J60+M60+P60</f>
        <v>0</v>
      </c>
      <c r="D60" s="72"/>
      <c r="E60" s="337"/>
      <c r="F60" s="72"/>
      <c r="G60" s="118">
        <f t="shared" ref="G60:G64" si="47">SUM(H60:I60)</f>
        <v>0</v>
      </c>
      <c r="H60" s="118" t="s">
        <v>797</v>
      </c>
      <c r="I60" s="118" t="s">
        <v>797</v>
      </c>
      <c r="J60" s="264">
        <f t="shared" ref="J60:J64" si="48">SUM(K60:L60)</f>
        <v>0</v>
      </c>
      <c r="K60" s="257" t="s">
        <v>797</v>
      </c>
      <c r="L60" s="265" t="s">
        <v>797</v>
      </c>
      <c r="M60" s="264">
        <f t="shared" ref="M60:M64" si="49">SUM(N60:O60)</f>
        <v>0</v>
      </c>
      <c r="N60" s="118" t="s">
        <v>797</v>
      </c>
      <c r="O60" s="118" t="s">
        <v>797</v>
      </c>
      <c r="P60" s="264">
        <f t="shared" ref="P60:P64" si="50">SUM(Q60:R60)</f>
        <v>0</v>
      </c>
      <c r="Q60" s="257" t="s">
        <v>797</v>
      </c>
      <c r="R60" s="265" t="s">
        <v>797</v>
      </c>
    </row>
    <row r="61" spans="2:18" ht="29" x14ac:dyDescent="0.35">
      <c r="B61" s="242" t="s">
        <v>868</v>
      </c>
      <c r="C61" s="308">
        <f t="shared" ref="C61:C64" si="51">G61+J61+M61+P61</f>
        <v>0</v>
      </c>
      <c r="D61" s="72"/>
      <c r="E61" s="337"/>
      <c r="F61" s="72"/>
      <c r="G61" s="118">
        <f t="shared" si="47"/>
        <v>0</v>
      </c>
      <c r="H61" s="118" t="s">
        <v>797</v>
      </c>
      <c r="I61" s="118" t="s">
        <v>797</v>
      </c>
      <c r="J61" s="264">
        <f t="shared" si="48"/>
        <v>0</v>
      </c>
      <c r="K61" s="257" t="s">
        <v>797</v>
      </c>
      <c r="L61" s="265" t="s">
        <v>797</v>
      </c>
      <c r="M61" s="264">
        <f t="shared" si="49"/>
        <v>0</v>
      </c>
      <c r="N61" s="118" t="s">
        <v>797</v>
      </c>
      <c r="O61" s="118" t="s">
        <v>797</v>
      </c>
      <c r="P61" s="264">
        <f t="shared" si="50"/>
        <v>0</v>
      </c>
      <c r="Q61" s="257" t="s">
        <v>797</v>
      </c>
      <c r="R61" s="265" t="s">
        <v>797</v>
      </c>
    </row>
    <row r="62" spans="2:18" ht="43.5" x14ac:dyDescent="0.35">
      <c r="B62" s="242" t="s">
        <v>869</v>
      </c>
      <c r="C62" s="308">
        <f t="shared" si="51"/>
        <v>0</v>
      </c>
      <c r="D62" s="72"/>
      <c r="E62" s="337"/>
      <c r="F62" s="72"/>
      <c r="G62" s="118">
        <f t="shared" si="47"/>
        <v>0</v>
      </c>
      <c r="H62" s="118" t="s">
        <v>797</v>
      </c>
      <c r="I62" s="118" t="s">
        <v>797</v>
      </c>
      <c r="J62" s="264">
        <f t="shared" si="48"/>
        <v>0</v>
      </c>
      <c r="K62" s="257" t="s">
        <v>797</v>
      </c>
      <c r="L62" s="265" t="s">
        <v>797</v>
      </c>
      <c r="M62" s="264">
        <f t="shared" si="49"/>
        <v>0</v>
      </c>
      <c r="N62" s="118" t="s">
        <v>797</v>
      </c>
      <c r="O62" s="118" t="s">
        <v>797</v>
      </c>
      <c r="P62" s="264">
        <f t="shared" si="50"/>
        <v>0</v>
      </c>
      <c r="Q62" s="257" t="s">
        <v>797</v>
      </c>
      <c r="R62" s="265" t="s">
        <v>797</v>
      </c>
    </row>
    <row r="63" spans="2:18" ht="29" x14ac:dyDescent="0.35">
      <c r="B63" s="242" t="s">
        <v>870</v>
      </c>
      <c r="C63" s="308">
        <f t="shared" si="51"/>
        <v>0</v>
      </c>
      <c r="D63" s="72"/>
      <c r="E63" s="337"/>
      <c r="F63" s="72"/>
      <c r="G63" s="118">
        <f t="shared" si="47"/>
        <v>0</v>
      </c>
      <c r="H63" s="118" t="s">
        <v>797</v>
      </c>
      <c r="I63" s="118" t="s">
        <v>797</v>
      </c>
      <c r="J63" s="264">
        <f t="shared" si="48"/>
        <v>0</v>
      </c>
      <c r="K63" s="257" t="s">
        <v>797</v>
      </c>
      <c r="L63" s="265" t="s">
        <v>797</v>
      </c>
      <c r="M63" s="264">
        <f t="shared" si="49"/>
        <v>0</v>
      </c>
      <c r="N63" s="118" t="s">
        <v>797</v>
      </c>
      <c r="O63" s="118" t="s">
        <v>797</v>
      </c>
      <c r="P63" s="264">
        <f t="shared" si="50"/>
        <v>0</v>
      </c>
      <c r="Q63" s="257" t="s">
        <v>797</v>
      </c>
      <c r="R63" s="265" t="s">
        <v>797</v>
      </c>
    </row>
    <row r="64" spans="2:18" ht="29" x14ac:dyDescent="0.35">
      <c r="B64" s="242" t="s">
        <v>871</v>
      </c>
      <c r="C64" s="308">
        <f t="shared" si="51"/>
        <v>0</v>
      </c>
      <c r="D64" s="72"/>
      <c r="E64" s="337"/>
      <c r="F64" s="72"/>
      <c r="G64" s="118">
        <f t="shared" si="47"/>
        <v>0</v>
      </c>
      <c r="H64" s="118" t="s">
        <v>797</v>
      </c>
      <c r="I64" s="118" t="s">
        <v>797</v>
      </c>
      <c r="J64" s="264">
        <f t="shared" si="48"/>
        <v>0</v>
      </c>
      <c r="K64" s="257" t="s">
        <v>797</v>
      </c>
      <c r="L64" s="265" t="s">
        <v>797</v>
      </c>
      <c r="M64" s="264">
        <f t="shared" si="49"/>
        <v>0</v>
      </c>
      <c r="N64" s="118" t="s">
        <v>797</v>
      </c>
      <c r="O64" s="118" t="s">
        <v>797</v>
      </c>
      <c r="P64" s="264">
        <f t="shared" si="50"/>
        <v>0</v>
      </c>
      <c r="Q64" s="257" t="s">
        <v>797</v>
      </c>
      <c r="R64" s="265" t="s">
        <v>797</v>
      </c>
    </row>
    <row r="65" spans="2:18" x14ac:dyDescent="0.35">
      <c r="C65" s="312"/>
      <c r="E65" s="7"/>
      <c r="G65" s="108"/>
      <c r="H65" s="108"/>
      <c r="I65" s="108"/>
      <c r="J65" s="285"/>
      <c r="K65" s="258"/>
      <c r="L65" s="286"/>
      <c r="M65" s="108"/>
      <c r="N65" s="108"/>
      <c r="O65" s="108"/>
      <c r="P65" s="285"/>
      <c r="Q65" s="258"/>
      <c r="R65" s="286"/>
    </row>
    <row r="66" spans="2:18" x14ac:dyDescent="0.35">
      <c r="B66" s="251" t="s">
        <v>872</v>
      </c>
      <c r="C66" s="316">
        <f>SUM(C67:C69)</f>
        <v>0</v>
      </c>
      <c r="D66" s="121" t="s">
        <v>820</v>
      </c>
      <c r="E66" s="7"/>
      <c r="F66" s="122" t="s">
        <v>832</v>
      </c>
      <c r="G66" s="104">
        <f t="shared" ref="G66:R66" si="52">SUM(G67:G69)</f>
        <v>0</v>
      </c>
      <c r="H66" s="104">
        <f t="shared" si="52"/>
        <v>0</v>
      </c>
      <c r="I66" s="104">
        <f t="shared" si="52"/>
        <v>0</v>
      </c>
      <c r="J66" s="276">
        <f t="shared" si="52"/>
        <v>0</v>
      </c>
      <c r="K66" s="104">
        <f t="shared" si="52"/>
        <v>0</v>
      </c>
      <c r="L66" s="277">
        <f t="shared" si="52"/>
        <v>0</v>
      </c>
      <c r="M66" s="104">
        <f t="shared" si="52"/>
        <v>0</v>
      </c>
      <c r="N66" s="104">
        <f t="shared" si="52"/>
        <v>0</v>
      </c>
      <c r="O66" s="104">
        <f t="shared" si="52"/>
        <v>0</v>
      </c>
      <c r="P66" s="276">
        <f t="shared" si="52"/>
        <v>0</v>
      </c>
      <c r="Q66" s="104">
        <f t="shared" si="52"/>
        <v>0</v>
      </c>
      <c r="R66" s="277">
        <f t="shared" si="52"/>
        <v>0</v>
      </c>
    </row>
    <row r="67" spans="2:18" x14ac:dyDescent="0.35">
      <c r="B67" s="242" t="s">
        <v>873</v>
      </c>
      <c r="C67" s="308">
        <f>G67+J67+M67+P67</f>
        <v>0</v>
      </c>
      <c r="D67" s="72"/>
      <c r="E67" s="337"/>
      <c r="F67" s="72"/>
      <c r="G67" s="118">
        <f t="shared" ref="G67:G69" si="53">SUM(H67:I67)</f>
        <v>0</v>
      </c>
      <c r="H67" s="118" t="s">
        <v>797</v>
      </c>
      <c r="I67" s="118" t="s">
        <v>797</v>
      </c>
      <c r="J67" s="264">
        <f t="shared" ref="J67:J69" si="54">SUM(K67:L67)</f>
        <v>0</v>
      </c>
      <c r="K67" s="257" t="s">
        <v>797</v>
      </c>
      <c r="L67" s="265" t="s">
        <v>797</v>
      </c>
      <c r="M67" s="264">
        <f t="shared" ref="M67:M69" si="55">SUM(N67:O67)</f>
        <v>0</v>
      </c>
      <c r="N67" s="118" t="s">
        <v>797</v>
      </c>
      <c r="O67" s="118" t="s">
        <v>797</v>
      </c>
      <c r="P67" s="264">
        <f t="shared" ref="P67:P69" si="56">SUM(Q67:R67)</f>
        <v>0</v>
      </c>
      <c r="Q67" s="257" t="s">
        <v>797</v>
      </c>
      <c r="R67" s="265" t="s">
        <v>797</v>
      </c>
    </row>
    <row r="68" spans="2:18" ht="29" x14ac:dyDescent="0.35">
      <c r="B68" s="242" t="s">
        <v>874</v>
      </c>
      <c r="C68" s="308">
        <f t="shared" ref="C68:C69" si="57">G68+J68+M68+P68</f>
        <v>0</v>
      </c>
      <c r="D68" s="72"/>
      <c r="E68" s="337"/>
      <c r="F68" s="72"/>
      <c r="G68" s="118">
        <f t="shared" si="53"/>
        <v>0</v>
      </c>
      <c r="H68" s="118" t="s">
        <v>797</v>
      </c>
      <c r="I68" s="118" t="s">
        <v>797</v>
      </c>
      <c r="J68" s="264">
        <f t="shared" si="54"/>
        <v>0</v>
      </c>
      <c r="K68" s="257" t="s">
        <v>797</v>
      </c>
      <c r="L68" s="265" t="s">
        <v>797</v>
      </c>
      <c r="M68" s="264">
        <f t="shared" si="55"/>
        <v>0</v>
      </c>
      <c r="N68" s="118" t="s">
        <v>797</v>
      </c>
      <c r="O68" s="118" t="s">
        <v>797</v>
      </c>
      <c r="P68" s="264">
        <f t="shared" si="56"/>
        <v>0</v>
      </c>
      <c r="Q68" s="257" t="s">
        <v>797</v>
      </c>
      <c r="R68" s="265" t="s">
        <v>797</v>
      </c>
    </row>
    <row r="69" spans="2:18" x14ac:dyDescent="0.35">
      <c r="B69" s="242" t="s">
        <v>875</v>
      </c>
      <c r="C69" s="308">
        <f t="shared" si="57"/>
        <v>0</v>
      </c>
      <c r="D69" s="72"/>
      <c r="E69" s="337"/>
      <c r="F69" s="72"/>
      <c r="G69" s="118">
        <f t="shared" si="53"/>
        <v>0</v>
      </c>
      <c r="H69" s="118" t="s">
        <v>797</v>
      </c>
      <c r="I69" s="118" t="s">
        <v>797</v>
      </c>
      <c r="J69" s="264">
        <f t="shared" si="54"/>
        <v>0</v>
      </c>
      <c r="K69" s="257" t="s">
        <v>797</v>
      </c>
      <c r="L69" s="265" t="s">
        <v>797</v>
      </c>
      <c r="M69" s="264">
        <f t="shared" si="55"/>
        <v>0</v>
      </c>
      <c r="N69" s="118" t="s">
        <v>797</v>
      </c>
      <c r="O69" s="118" t="s">
        <v>797</v>
      </c>
      <c r="P69" s="264">
        <f t="shared" si="56"/>
        <v>0</v>
      </c>
      <c r="Q69" s="257" t="s">
        <v>797</v>
      </c>
      <c r="R69" s="265" t="s">
        <v>797</v>
      </c>
    </row>
    <row r="70" spans="2:18" x14ac:dyDescent="0.35">
      <c r="C70" s="310"/>
      <c r="E70" s="7"/>
      <c r="G70" s="105"/>
      <c r="H70" s="105"/>
      <c r="I70" s="105"/>
      <c r="J70" s="278"/>
      <c r="K70" s="279"/>
      <c r="L70" s="280"/>
      <c r="M70" s="105"/>
      <c r="N70" s="105"/>
      <c r="O70" s="105"/>
      <c r="P70" s="278"/>
      <c r="Q70" s="279"/>
      <c r="R70" s="280"/>
    </row>
    <row r="71" spans="2:18" ht="29" x14ac:dyDescent="0.35">
      <c r="B71" s="254" t="s">
        <v>876</v>
      </c>
      <c r="C71" s="326">
        <f>G71+J71+M71+P71</f>
        <v>0</v>
      </c>
      <c r="D71" s="120" t="s">
        <v>820</v>
      </c>
      <c r="E71" s="7"/>
      <c r="F71" s="123" t="s">
        <v>832</v>
      </c>
      <c r="G71" s="118">
        <f>SUM(H71:I71)</f>
        <v>0</v>
      </c>
      <c r="H71" s="118" t="s">
        <v>797</v>
      </c>
      <c r="I71" s="118" t="s">
        <v>797</v>
      </c>
      <c r="J71" s="264">
        <f t="shared" ref="J71" si="58">SUM(K71:L71)</f>
        <v>0</v>
      </c>
      <c r="K71" s="257" t="s">
        <v>797</v>
      </c>
      <c r="L71" s="265" t="s">
        <v>797</v>
      </c>
      <c r="M71" s="264">
        <f t="shared" ref="M71" si="59">SUM(N71:O71)</f>
        <v>0</v>
      </c>
      <c r="N71" s="118" t="s">
        <v>797</v>
      </c>
      <c r="O71" s="118" t="s">
        <v>797</v>
      </c>
      <c r="P71" s="264">
        <f t="shared" ref="P71" si="60">SUM(Q71:R71)</f>
        <v>0</v>
      </c>
      <c r="Q71" s="257" t="s">
        <v>797</v>
      </c>
      <c r="R71" s="265" t="s">
        <v>797</v>
      </c>
    </row>
    <row r="72" spans="2:18" x14ac:dyDescent="0.35">
      <c r="C72" s="312"/>
      <c r="E72" s="7"/>
      <c r="G72" s="108"/>
      <c r="H72" s="108"/>
      <c r="I72" s="108"/>
      <c r="J72" s="285"/>
      <c r="K72" s="258"/>
      <c r="L72" s="286"/>
      <c r="M72" s="108"/>
      <c r="N72" s="108"/>
      <c r="O72" s="108"/>
      <c r="P72" s="285"/>
      <c r="Q72" s="258"/>
      <c r="R72" s="286"/>
    </row>
    <row r="73" spans="2:18" x14ac:dyDescent="0.35">
      <c r="B73" s="254" t="s">
        <v>877</v>
      </c>
      <c r="C73" s="326">
        <f>G73+J73+M73+P73</f>
        <v>0</v>
      </c>
      <c r="D73" s="120" t="s">
        <v>820</v>
      </c>
      <c r="E73" s="7"/>
      <c r="F73" s="123" t="s">
        <v>832</v>
      </c>
      <c r="G73" s="118">
        <f>SUM(H73:I73)</f>
        <v>0</v>
      </c>
      <c r="H73" s="118" t="s">
        <v>797</v>
      </c>
      <c r="I73" s="118" t="s">
        <v>797</v>
      </c>
      <c r="J73" s="264">
        <f t="shared" ref="J73" si="61">SUM(K73:L73)</f>
        <v>0</v>
      </c>
      <c r="K73" s="257" t="s">
        <v>797</v>
      </c>
      <c r="L73" s="265" t="s">
        <v>797</v>
      </c>
      <c r="M73" s="264">
        <f t="shared" ref="M73" si="62">SUM(N73:O73)</f>
        <v>0</v>
      </c>
      <c r="N73" s="118" t="s">
        <v>797</v>
      </c>
      <c r="O73" s="118" t="s">
        <v>797</v>
      </c>
      <c r="P73" s="264">
        <f t="shared" ref="P73" si="63">SUM(Q73:R73)</f>
        <v>0</v>
      </c>
      <c r="Q73" s="257" t="s">
        <v>797</v>
      </c>
      <c r="R73" s="265" t="s">
        <v>797</v>
      </c>
    </row>
    <row r="74" spans="2:18" x14ac:dyDescent="0.35">
      <c r="B74" s="255"/>
      <c r="C74" s="317"/>
      <c r="E74" s="7"/>
      <c r="G74" s="110"/>
      <c r="H74" s="110"/>
      <c r="I74" s="110"/>
      <c r="J74" s="294"/>
      <c r="K74" s="295"/>
      <c r="L74" s="296"/>
      <c r="M74" s="110"/>
      <c r="N74" s="110"/>
      <c r="O74" s="110"/>
      <c r="P74" s="294"/>
      <c r="Q74" s="295"/>
      <c r="R74" s="296"/>
    </row>
    <row r="75" spans="2:18" x14ac:dyDescent="0.35">
      <c r="B75" s="254" t="s">
        <v>878</v>
      </c>
      <c r="C75" s="326">
        <f>G75+J75+M75+P75</f>
        <v>0</v>
      </c>
      <c r="D75" s="120" t="s">
        <v>820</v>
      </c>
      <c r="E75" s="7"/>
      <c r="F75" s="123" t="s">
        <v>832</v>
      </c>
      <c r="G75" s="118">
        <f>SUM(H75:I75)</f>
        <v>0</v>
      </c>
      <c r="H75" s="118" t="s">
        <v>797</v>
      </c>
      <c r="I75" s="118" t="s">
        <v>797</v>
      </c>
      <c r="J75" s="264">
        <f t="shared" ref="J75" si="64">SUM(K75:L75)</f>
        <v>0</v>
      </c>
      <c r="K75" s="257" t="s">
        <v>797</v>
      </c>
      <c r="L75" s="265" t="s">
        <v>797</v>
      </c>
      <c r="M75" s="264">
        <f t="shared" ref="M75" si="65">SUM(N75:O75)</f>
        <v>0</v>
      </c>
      <c r="N75" s="118" t="s">
        <v>797</v>
      </c>
      <c r="O75" s="118" t="s">
        <v>797</v>
      </c>
      <c r="P75" s="264">
        <f t="shared" ref="P75" si="66">SUM(Q75:R75)</f>
        <v>0</v>
      </c>
      <c r="Q75" s="257" t="s">
        <v>797</v>
      </c>
      <c r="R75" s="265" t="s">
        <v>797</v>
      </c>
    </row>
    <row r="76" spans="2:18" x14ac:dyDescent="0.35">
      <c r="C76" s="312"/>
      <c r="E76" s="7"/>
      <c r="G76" s="108"/>
      <c r="H76" s="108"/>
      <c r="I76" s="108"/>
      <c r="J76" s="285"/>
      <c r="K76" s="258"/>
      <c r="L76" s="286"/>
      <c r="M76" s="108"/>
      <c r="N76" s="108"/>
      <c r="O76" s="108"/>
      <c r="P76" s="285"/>
      <c r="Q76" s="258"/>
      <c r="R76" s="286"/>
    </row>
    <row r="77" spans="2:18" x14ac:dyDescent="0.35">
      <c r="B77" s="251" t="s">
        <v>98</v>
      </c>
      <c r="C77" s="326">
        <f>G77+J77+M77+P77</f>
        <v>0</v>
      </c>
      <c r="D77" s="342"/>
      <c r="E77" s="337"/>
      <c r="F77" s="342"/>
      <c r="G77" s="119">
        <f>SUM(H77:I77)</f>
        <v>0</v>
      </c>
      <c r="H77" s="119" t="s">
        <v>797</v>
      </c>
      <c r="I77" s="119" t="s">
        <v>797</v>
      </c>
      <c r="J77" s="287">
        <f t="shared" ref="J77" si="67">SUM(K77:L77)</f>
        <v>0</v>
      </c>
      <c r="K77" s="119" t="s">
        <v>797</v>
      </c>
      <c r="L77" s="288" t="s">
        <v>797</v>
      </c>
      <c r="M77" s="287">
        <f t="shared" ref="M77" si="68">SUM(N77:O77)</f>
        <v>0</v>
      </c>
      <c r="N77" s="119" t="s">
        <v>797</v>
      </c>
      <c r="O77" s="119" t="s">
        <v>797</v>
      </c>
      <c r="P77" s="287">
        <f t="shared" ref="P77" si="69">SUM(Q77:R77)</f>
        <v>0</v>
      </c>
      <c r="Q77" s="119" t="s">
        <v>797</v>
      </c>
      <c r="R77" s="288" t="s">
        <v>797</v>
      </c>
    </row>
    <row r="78" spans="2:18" x14ac:dyDescent="0.35">
      <c r="B78" s="242" t="s">
        <v>99</v>
      </c>
      <c r="C78" s="313" t="str">
        <f>IFERROR(IFERROR(C77+0,0)/(IFERROR(C59+0,0)+IFERROR(C66+0,0)+IFERROR(C71+0,0)+IFERROR(C73+0,0)+IFERROR(C75+0,0)+IFERROR(C80+0,0)+IFERROR(C84+0,0)),"-")</f>
        <v>-</v>
      </c>
      <c r="D78" s="72"/>
      <c r="E78" s="337"/>
      <c r="F78" s="72"/>
      <c r="G78" s="114" t="str">
        <f t="shared" ref="G78:R78" si="70">IFERROR(IFERROR(G77+0,0)/(IFERROR(G59+0,0)+IFERROR(G66+0,0)+IFERROR(G71+0,0)+IFERROR(G73+0,0)+IFERROR(G75+0,0)+IFERROR(G80+0,0)+IFERROR(G84+0,0)),"-")</f>
        <v>-</v>
      </c>
      <c r="H78" s="114" t="str">
        <f t="shared" si="70"/>
        <v>-</v>
      </c>
      <c r="I78" s="114" t="str">
        <f t="shared" si="70"/>
        <v>-</v>
      </c>
      <c r="J78" s="289" t="str">
        <f t="shared" si="70"/>
        <v>-</v>
      </c>
      <c r="K78" s="290" t="str">
        <f t="shared" si="70"/>
        <v>-</v>
      </c>
      <c r="L78" s="291" t="str">
        <f t="shared" si="70"/>
        <v>-</v>
      </c>
      <c r="M78" s="114" t="str">
        <f t="shared" si="70"/>
        <v>-</v>
      </c>
      <c r="N78" s="114" t="str">
        <f t="shared" si="70"/>
        <v>-</v>
      </c>
      <c r="O78" s="114" t="str">
        <f t="shared" si="70"/>
        <v>-</v>
      </c>
      <c r="P78" s="289" t="str">
        <f t="shared" si="70"/>
        <v>-</v>
      </c>
      <c r="Q78" s="290" t="str">
        <f t="shared" si="70"/>
        <v>-</v>
      </c>
      <c r="R78" s="291" t="str">
        <f t="shared" si="70"/>
        <v>-</v>
      </c>
    </row>
    <row r="79" spans="2:18" x14ac:dyDescent="0.35">
      <c r="C79" s="312"/>
      <c r="E79" s="7"/>
      <c r="G79" s="108"/>
      <c r="H79" s="108"/>
      <c r="I79" s="108"/>
      <c r="J79" s="285"/>
      <c r="K79" s="258"/>
      <c r="L79" s="286"/>
      <c r="M79" s="108"/>
      <c r="N79" s="108"/>
      <c r="O79" s="108"/>
      <c r="P79" s="285"/>
      <c r="Q79" s="258"/>
      <c r="R79" s="286"/>
    </row>
    <row r="80" spans="2:18" x14ac:dyDescent="0.35">
      <c r="B80" s="251" t="s">
        <v>879</v>
      </c>
      <c r="C80" s="316">
        <f>SUM(C81:C82)</f>
        <v>0</v>
      </c>
      <c r="D80" s="121" t="s">
        <v>820</v>
      </c>
      <c r="E80" s="7"/>
      <c r="F80" s="122" t="s">
        <v>832</v>
      </c>
      <c r="G80" s="104">
        <f t="shared" ref="G80:R80" si="71">SUM(G81:G82)</f>
        <v>0</v>
      </c>
      <c r="H80" s="104">
        <f t="shared" si="71"/>
        <v>0</v>
      </c>
      <c r="I80" s="104">
        <f t="shared" si="71"/>
        <v>0</v>
      </c>
      <c r="J80" s="276">
        <f t="shared" si="71"/>
        <v>0</v>
      </c>
      <c r="K80" s="104">
        <f t="shared" si="71"/>
        <v>0</v>
      </c>
      <c r="L80" s="277">
        <f t="shared" si="71"/>
        <v>0</v>
      </c>
      <c r="M80" s="104">
        <f t="shared" si="71"/>
        <v>0</v>
      </c>
      <c r="N80" s="104">
        <f t="shared" si="71"/>
        <v>0</v>
      </c>
      <c r="O80" s="104">
        <f t="shared" si="71"/>
        <v>0</v>
      </c>
      <c r="P80" s="276">
        <f t="shared" si="71"/>
        <v>0</v>
      </c>
      <c r="Q80" s="104">
        <f t="shared" si="71"/>
        <v>0</v>
      </c>
      <c r="R80" s="277">
        <f t="shared" si="71"/>
        <v>0</v>
      </c>
    </row>
    <row r="81" spans="2:18" x14ac:dyDescent="0.35">
      <c r="B81" s="242" t="s">
        <v>880</v>
      </c>
      <c r="C81" s="308">
        <f>G81+J81+M81+P81</f>
        <v>0</v>
      </c>
      <c r="D81" s="72"/>
      <c r="E81" s="337"/>
      <c r="F81" s="72"/>
      <c r="G81" s="118">
        <f t="shared" ref="G81:G82" si="72">SUM(H81:I81)</f>
        <v>0</v>
      </c>
      <c r="H81" s="118" t="s">
        <v>797</v>
      </c>
      <c r="I81" s="118" t="s">
        <v>797</v>
      </c>
      <c r="J81" s="264">
        <f t="shared" ref="J81:J82" si="73">SUM(K81:L81)</f>
        <v>0</v>
      </c>
      <c r="K81" s="257" t="s">
        <v>797</v>
      </c>
      <c r="L81" s="265" t="s">
        <v>797</v>
      </c>
      <c r="M81" s="264">
        <f t="shared" ref="M81:M82" si="74">SUM(N81:O81)</f>
        <v>0</v>
      </c>
      <c r="N81" s="118" t="s">
        <v>797</v>
      </c>
      <c r="O81" s="118" t="s">
        <v>797</v>
      </c>
      <c r="P81" s="264">
        <f t="shared" ref="P81:P82" si="75">SUM(Q81:R81)</f>
        <v>0</v>
      </c>
      <c r="Q81" s="257" t="s">
        <v>797</v>
      </c>
      <c r="R81" s="265" t="s">
        <v>797</v>
      </c>
    </row>
    <row r="82" spans="2:18" x14ac:dyDescent="0.35">
      <c r="B82" s="242" t="s">
        <v>881</v>
      </c>
      <c r="C82" s="308">
        <f>G82+J82+M82+P82</f>
        <v>0</v>
      </c>
      <c r="D82" s="72"/>
      <c r="E82" s="337"/>
      <c r="F82" s="72"/>
      <c r="G82" s="118">
        <f t="shared" si="72"/>
        <v>0</v>
      </c>
      <c r="H82" s="118" t="s">
        <v>797</v>
      </c>
      <c r="I82" s="118" t="s">
        <v>797</v>
      </c>
      <c r="J82" s="264">
        <f t="shared" si="73"/>
        <v>0</v>
      </c>
      <c r="K82" s="257" t="s">
        <v>797</v>
      </c>
      <c r="L82" s="265" t="s">
        <v>797</v>
      </c>
      <c r="M82" s="264">
        <f t="shared" si="74"/>
        <v>0</v>
      </c>
      <c r="N82" s="118" t="s">
        <v>797</v>
      </c>
      <c r="O82" s="118" t="s">
        <v>797</v>
      </c>
      <c r="P82" s="264">
        <f t="shared" si="75"/>
        <v>0</v>
      </c>
      <c r="Q82" s="257" t="s">
        <v>797</v>
      </c>
      <c r="R82" s="265" t="s">
        <v>797</v>
      </c>
    </row>
    <row r="83" spans="2:18" x14ac:dyDescent="0.35">
      <c r="C83" s="312"/>
      <c r="E83" s="7"/>
      <c r="G83" s="108"/>
      <c r="H83" s="108"/>
      <c r="I83" s="108"/>
      <c r="J83" s="285"/>
      <c r="K83" s="258"/>
      <c r="L83" s="286"/>
      <c r="M83" s="108"/>
      <c r="N83" s="108"/>
      <c r="O83" s="108"/>
      <c r="P83" s="285"/>
      <c r="Q83" s="258"/>
      <c r="R83" s="286"/>
    </row>
    <row r="84" spans="2:18" x14ac:dyDescent="0.35">
      <c r="B84" s="251" t="s">
        <v>882</v>
      </c>
      <c r="C84" s="316">
        <f>SUM(C85:C86)</f>
        <v>0</v>
      </c>
      <c r="D84" s="121" t="s">
        <v>820</v>
      </c>
      <c r="E84" s="7"/>
      <c r="F84" s="122" t="s">
        <v>832</v>
      </c>
      <c r="G84" s="104">
        <f t="shared" ref="G84:R84" si="76">SUM(G85:G86)</f>
        <v>0</v>
      </c>
      <c r="H84" s="104">
        <f t="shared" si="76"/>
        <v>0</v>
      </c>
      <c r="I84" s="104">
        <f t="shared" si="76"/>
        <v>0</v>
      </c>
      <c r="J84" s="276">
        <f t="shared" si="76"/>
        <v>0</v>
      </c>
      <c r="K84" s="104">
        <f t="shared" si="76"/>
        <v>0</v>
      </c>
      <c r="L84" s="277">
        <f t="shared" si="76"/>
        <v>0</v>
      </c>
      <c r="M84" s="104">
        <f t="shared" si="76"/>
        <v>0</v>
      </c>
      <c r="N84" s="104">
        <f t="shared" si="76"/>
        <v>0</v>
      </c>
      <c r="O84" s="104">
        <f t="shared" si="76"/>
        <v>0</v>
      </c>
      <c r="P84" s="276">
        <f t="shared" si="76"/>
        <v>0</v>
      </c>
      <c r="Q84" s="104">
        <f t="shared" si="76"/>
        <v>0</v>
      </c>
      <c r="R84" s="277">
        <f t="shared" si="76"/>
        <v>0</v>
      </c>
    </row>
    <row r="85" spans="2:18" x14ac:dyDescent="0.35">
      <c r="B85" s="242" t="s">
        <v>883</v>
      </c>
      <c r="C85" s="308">
        <f>G85+J85+M85+P85</f>
        <v>0</v>
      </c>
      <c r="D85" s="72"/>
      <c r="E85" s="337"/>
      <c r="F85" s="72"/>
      <c r="G85" s="118">
        <f>SUM(H85:I85)</f>
        <v>0</v>
      </c>
      <c r="H85" s="118" t="s">
        <v>797</v>
      </c>
      <c r="I85" s="118" t="s">
        <v>797</v>
      </c>
      <c r="J85" s="264">
        <f t="shared" ref="J85:J86" si="77">SUM(K85:L85)</f>
        <v>0</v>
      </c>
      <c r="K85" s="257" t="s">
        <v>797</v>
      </c>
      <c r="L85" s="265" t="s">
        <v>797</v>
      </c>
      <c r="M85" s="264">
        <f t="shared" ref="M85:M86" si="78">SUM(N85:O85)</f>
        <v>0</v>
      </c>
      <c r="N85" s="118" t="s">
        <v>797</v>
      </c>
      <c r="O85" s="118" t="s">
        <v>797</v>
      </c>
      <c r="P85" s="264">
        <f t="shared" ref="P85:P86" si="79">SUM(Q85:R85)</f>
        <v>0</v>
      </c>
      <c r="Q85" s="257" t="s">
        <v>797</v>
      </c>
      <c r="R85" s="265" t="s">
        <v>797</v>
      </c>
    </row>
    <row r="86" spans="2:18" x14ac:dyDescent="0.35">
      <c r="B86" s="242" t="s">
        <v>884</v>
      </c>
      <c r="C86" s="308">
        <f>G86+J86+M86+P86</f>
        <v>0</v>
      </c>
      <c r="D86" s="72"/>
      <c r="E86" s="337"/>
      <c r="F86" s="72"/>
      <c r="G86" s="118">
        <f>SUM(H86:I86)</f>
        <v>0</v>
      </c>
      <c r="H86" s="118" t="s">
        <v>797</v>
      </c>
      <c r="I86" s="118" t="s">
        <v>797</v>
      </c>
      <c r="J86" s="264">
        <f t="shared" si="77"/>
        <v>0</v>
      </c>
      <c r="K86" s="257" t="s">
        <v>797</v>
      </c>
      <c r="L86" s="265" t="s">
        <v>797</v>
      </c>
      <c r="M86" s="264">
        <f t="shared" si="78"/>
        <v>0</v>
      </c>
      <c r="N86" s="118" t="s">
        <v>797</v>
      </c>
      <c r="O86" s="118" t="s">
        <v>797</v>
      </c>
      <c r="P86" s="264">
        <f t="shared" si="79"/>
        <v>0</v>
      </c>
      <c r="Q86" s="257" t="s">
        <v>797</v>
      </c>
      <c r="R86" s="265" t="s">
        <v>797</v>
      </c>
    </row>
    <row r="87" spans="2:18" x14ac:dyDescent="0.35">
      <c r="B87" s="253"/>
      <c r="C87" s="314"/>
      <c r="D87" s="115"/>
      <c r="E87" s="7"/>
      <c r="F87" s="115"/>
      <c r="G87" s="109"/>
      <c r="H87" s="109"/>
      <c r="I87" s="109"/>
      <c r="J87" s="292"/>
      <c r="K87" s="109"/>
      <c r="L87" s="293"/>
      <c r="M87" s="109"/>
      <c r="N87" s="109"/>
      <c r="O87" s="109"/>
      <c r="P87" s="292"/>
      <c r="Q87" s="109"/>
      <c r="R87" s="293"/>
    </row>
    <row r="88" spans="2:18" x14ac:dyDescent="0.35">
      <c r="B88" s="248" t="s">
        <v>885</v>
      </c>
      <c r="C88" s="315">
        <f>IFERROR(C59+0,0)+IFERROR(C75+0,0)+IFERROR(C66+0,0)+IFERROR(C71+0,0)+IFERROR(C73+0,0)+IFERROR(C77+0,0)+IFERROR(C80+0,0)+IFERROR(C84+0,0)</f>
        <v>0</v>
      </c>
      <c r="D88" s="71"/>
      <c r="E88" s="7"/>
      <c r="F88" s="71"/>
      <c r="G88" s="101">
        <f t="shared" ref="G88:R88" si="80">IFERROR(G59+0,0)+IFERROR(G75+0,0)+IFERROR(G66+0,0)+IFERROR(G71+0,0)+IFERROR(G73+0,0)+IFERROR(G77+0,0)+IFERROR(G80+0,0)+IFERROR(G84+0,0)</f>
        <v>0</v>
      </c>
      <c r="H88" s="101">
        <f t="shared" si="80"/>
        <v>0</v>
      </c>
      <c r="I88" s="101">
        <f t="shared" si="80"/>
        <v>0</v>
      </c>
      <c r="J88" s="268">
        <f t="shared" si="80"/>
        <v>0</v>
      </c>
      <c r="K88" s="269">
        <f t="shared" si="80"/>
        <v>0</v>
      </c>
      <c r="L88" s="270">
        <f t="shared" si="80"/>
        <v>0</v>
      </c>
      <c r="M88" s="101">
        <f t="shared" si="80"/>
        <v>0</v>
      </c>
      <c r="N88" s="101">
        <f t="shared" si="80"/>
        <v>0</v>
      </c>
      <c r="O88" s="101">
        <f t="shared" si="80"/>
        <v>0</v>
      </c>
      <c r="P88" s="268">
        <f t="shared" si="80"/>
        <v>0</v>
      </c>
      <c r="Q88" s="269">
        <f t="shared" si="80"/>
        <v>0</v>
      </c>
      <c r="R88" s="270">
        <f t="shared" si="80"/>
        <v>0</v>
      </c>
    </row>
    <row r="89" spans="2:18" x14ac:dyDescent="0.35">
      <c r="C89" s="312"/>
      <c r="E89" s="7"/>
      <c r="G89" s="108"/>
      <c r="H89" s="108"/>
      <c r="I89" s="108"/>
      <c r="J89" s="285"/>
      <c r="K89" s="258"/>
      <c r="L89" s="286"/>
      <c r="M89" s="108"/>
      <c r="N89" s="108"/>
      <c r="O89" s="108"/>
      <c r="P89" s="285"/>
      <c r="Q89" s="258"/>
      <c r="R89" s="286"/>
    </row>
    <row r="90" spans="2:18" x14ac:dyDescent="0.35">
      <c r="B90" s="251" t="s">
        <v>886</v>
      </c>
      <c r="C90" s="327"/>
      <c r="D90" s="94"/>
      <c r="E90" s="7"/>
      <c r="F90" s="94"/>
      <c r="G90" s="111"/>
      <c r="H90" s="111"/>
      <c r="I90" s="111"/>
      <c r="J90" s="297"/>
      <c r="K90" s="111"/>
      <c r="L90" s="298"/>
      <c r="M90" s="111"/>
      <c r="N90" s="111"/>
      <c r="O90" s="111"/>
      <c r="P90" s="297"/>
      <c r="Q90" s="111"/>
      <c r="R90" s="298"/>
    </row>
    <row r="91" spans="2:18" x14ac:dyDescent="0.35">
      <c r="B91" s="242" t="s">
        <v>100</v>
      </c>
      <c r="C91" s="328"/>
      <c r="E91" s="7"/>
      <c r="F91" s="89" t="s">
        <v>800</v>
      </c>
      <c r="G91" s="112"/>
      <c r="H91" s="112"/>
      <c r="I91" s="112"/>
      <c r="J91" s="299"/>
      <c r="K91" s="300"/>
      <c r="L91" s="301"/>
      <c r="M91" s="112"/>
      <c r="N91" s="112"/>
      <c r="O91" s="112"/>
      <c r="P91" s="299"/>
      <c r="Q91" s="300"/>
      <c r="R91" s="301"/>
    </row>
    <row r="92" spans="2:18" ht="15" thickBot="1" x14ac:dyDescent="0.4">
      <c r="C92" s="312"/>
      <c r="E92" s="7"/>
      <c r="G92" s="108"/>
      <c r="H92" s="108"/>
      <c r="I92" s="108"/>
      <c r="J92" s="285"/>
      <c r="K92" s="258"/>
      <c r="L92" s="286"/>
      <c r="M92" s="108"/>
      <c r="N92" s="108"/>
      <c r="O92" s="108"/>
      <c r="P92" s="285"/>
      <c r="Q92" s="258"/>
      <c r="R92" s="286"/>
    </row>
    <row r="93" spans="2:18" ht="15" thickBot="1" x14ac:dyDescent="0.4">
      <c r="C93" s="310"/>
      <c r="D93" s="116" t="s">
        <v>887</v>
      </c>
      <c r="E93" s="7"/>
      <c r="F93" s="117" t="s">
        <v>888</v>
      </c>
      <c r="G93" s="105"/>
      <c r="H93" s="105"/>
      <c r="I93" s="105"/>
      <c r="J93" s="278"/>
      <c r="K93" s="279"/>
      <c r="L93" s="280"/>
      <c r="M93" s="105"/>
      <c r="N93" s="105"/>
      <c r="O93" s="105"/>
      <c r="P93" s="278"/>
      <c r="Q93" s="279"/>
      <c r="R93" s="280"/>
    </row>
    <row r="94" spans="2:18" ht="19" thickBot="1" x14ac:dyDescent="0.4">
      <c r="B94" s="256" t="s">
        <v>889</v>
      </c>
      <c r="C94" s="329">
        <f>C10+C56+C88</f>
        <v>0</v>
      </c>
      <c r="D94" s="92">
        <f>MIN(D84,D80,D75,D73,D71,D66,D59,D48,D44,D39,D32,D27,D22,D18,D13,D5)</f>
        <v>0</v>
      </c>
      <c r="E94" s="7"/>
      <c r="F94" s="93">
        <f>IF(MAX(IFERROR(EDATE(D84,F84),0),IFERROR(EDATE(D80,F80),0),IFERROR(EDATE(D75,F75),0),IFERROR(EDATE(D73,F73),0),IFERROR(EDATE(D71,F71),0),IFERROR(EDATE(D66,F66),0),IFERROR(EDATE(D59,F59),0),IFERROR(EDATE(D48,F48),0),IFERROR(EDATE(D44,F44),0),IFERROR(EDATE(D39,F39),0),IFERROR(EDATE(D32,F32),0),IFERROR(EDATE(D27,F27),0),IFERROR(EDATE(D22,F22),0),IFERROR(EDATE(D18,F18),0),IFERROR(EDATE(D13,F13),0),IFERROR(EDATE(D5,1),0))-1=-1,D94,MAX(IFERROR(EDATE(D84,F84),0),IFERROR(EDATE(D80,F80),0),IFERROR(EDATE(D75,F75),0),IFERROR(EDATE(D73,F73),0),IFERROR(EDATE(D71,F71),0),IFERROR(EDATE(D66,F66),0),IFERROR(EDATE(D59,F59),0),IFERROR(EDATE(D48,F48),0),IFERROR(EDATE(D44,F44),0),IFERROR(EDATE(D39,F39),0),IFERROR(EDATE(D32,F32),0),IFERROR(EDATE(D27,F27),0),IFERROR(EDATE(D22,F22),0),IFERROR(EDATE(D18,F18),0),IFERROR(EDATE(D13,F13),0),IFERROR(EDATE(D5,1),0))-1)</f>
        <v>0</v>
      </c>
      <c r="G94" s="113">
        <f t="shared" ref="G94:R94" si="81">G10+G56+G88</f>
        <v>0</v>
      </c>
      <c r="H94" s="113">
        <f t="shared" si="81"/>
        <v>0</v>
      </c>
      <c r="I94" s="113">
        <f t="shared" si="81"/>
        <v>0</v>
      </c>
      <c r="J94" s="302">
        <f t="shared" si="81"/>
        <v>0</v>
      </c>
      <c r="K94" s="303">
        <f t="shared" si="81"/>
        <v>0</v>
      </c>
      <c r="L94" s="304">
        <f t="shared" si="81"/>
        <v>0</v>
      </c>
      <c r="M94" s="113">
        <f t="shared" si="81"/>
        <v>0</v>
      </c>
      <c r="N94" s="113">
        <f t="shared" si="81"/>
        <v>0</v>
      </c>
      <c r="O94" s="113">
        <f t="shared" si="81"/>
        <v>0</v>
      </c>
      <c r="P94" s="302">
        <f t="shared" si="81"/>
        <v>0</v>
      </c>
      <c r="Q94" s="303">
        <f t="shared" si="81"/>
        <v>0</v>
      </c>
      <c r="R94" s="304">
        <f t="shared" si="81"/>
        <v>0</v>
      </c>
    </row>
    <row r="95" spans="2:18" x14ac:dyDescent="0.35">
      <c r="D95" s="73"/>
      <c r="E95" s="7"/>
      <c r="F95" s="73"/>
    </row>
  </sheetData>
  <sheetProtection sheet="1" selectLockedCells="1"/>
  <mergeCells count="4">
    <mergeCell ref="G2:I2"/>
    <mergeCell ref="J2:L2"/>
    <mergeCell ref="M2:O2"/>
    <mergeCell ref="P2:R2"/>
  </mergeCells>
  <dataValidations count="7">
    <dataValidation type="decimal" operator="greaterThanOrEqual" allowBlank="1" showInputMessage="1" showErrorMessage="1" sqref="C5:C8 Q75:R75 Q67:R69 Q71:R71 Q73:R73 Q60:R64 Q40:R42 Q45:R46 Q49:R51 Q53:R53 Q23:R25 Q28:R30 Q33:R37 Q19:R20 Q81:R82 Q5:R8 Q85:R86 Q14:R15 N67:O69 N60:O64 N53:O53 N49:O51 N45:O46 N40:O42 N33:O37 N28:O30 N23:O25 N19:O20 N81:O82 N5:O8 N85:O86 N14:O15 N77:O77 N75:O75 N73:O73 H77:I77 H14:I15 H85:I86 H5:I8 H81:I82 H19:I20 H23:I25 H28:I30 H33:I37 H40:I42 H45:I46 H49:I51 H53:I53 H60:I64 H67:I69 H71:I71 H73:I73 H75:I75 K75:L75 K77:L77 K14:L15 K85:L86 K5:L8 K81:L82 K19:L20 K23:L25 K28:L30 K33:L37 K40:L42 K45:L46 K49:L51 K53:L53 K60:L64 K67:L69 K71:L71 K73:L73 N71:O71 Q77:R77" xr:uid="{9C324E6E-5DDA-4B2C-845C-DA2EF64944D7}">
      <formula1>0</formula1>
    </dataValidation>
    <dataValidation type="whole" operator="greaterThanOrEqual" allowBlank="1" showInputMessage="1" showErrorMessage="1" sqref="F13 F18 F22 F27 F32 F39 F44 F48 F59 F66 F84 F73 F75 F71 F80" xr:uid="{E0BCD006-A8B8-4579-A8F8-064DF2017FE3}">
      <formula1>0</formula1>
    </dataValidation>
    <dataValidation type="date" operator="greaterThanOrEqual" allowBlank="1" showInputMessage="1" showErrorMessage="1" sqref="D5 D48 D71 D27 D80 D44 D75 D18 D73 D39 D84 D22 D66 D32 D59 D13" xr:uid="{A7AC72B2-DA29-43F4-B65A-7CDDAE4CD6DF}">
      <formula1>36526</formula1>
    </dataValidation>
    <dataValidation allowBlank="1" showInputMessage="1" sqref="M3:M1048576 G3:G1048576 J3:J1048576 G1 J1 M1 P1 P3:P1048576" xr:uid="{4A61E2EF-8B11-4202-B608-89A939631DC2}"/>
    <dataValidation type="decimal" operator="greaterThanOrEqual" allowBlank="1" showInputMessage="1" sqref="C23:C25 C14:C15 C19:C20 C28:C30 C33:C37 C53 C40:C42 C45:C46 C49:C51 C71 C60:C64 C67:C69 C75 C73 C77 C81:C82 C85:C86" xr:uid="{FAED76B0-5255-4AA7-BD5A-4A0A926710FC}">
      <formula1>0</formula1>
    </dataValidation>
    <dataValidation type="list" allowBlank="1" showInputMessage="1" sqref="J2:R2" xr:uid="{E275E0E9-B0D4-4C66-9CD0-EAFEA49CB22D}">
      <formula1>"Residential, Office, Retail, Hotel, Industrial, Parking"</formula1>
    </dataValidation>
    <dataValidation type="list" allowBlank="1" showInputMessage="1" showErrorMessage="1" sqref="G2:I2" xr:uid="{7331F512-C04A-46FC-8024-CC26C0E3A8A7}">
      <formula1>"Residential, Office, Retail, Hotel, Industrial, Parking"</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A1AF5-7D9A-463A-AC9F-12C33EA06D19}">
  <sheetPr codeName="Sheet3"/>
  <dimension ref="A1:K47"/>
  <sheetViews>
    <sheetView showGridLines="0" workbookViewId="0">
      <selection activeCell="D24" sqref="D24:F24"/>
    </sheetView>
  </sheetViews>
  <sheetFormatPr defaultColWidth="0" defaultRowHeight="14.5" zeroHeight="1" x14ac:dyDescent="0.35"/>
  <cols>
    <col min="1" max="1" width="2.6328125" style="7" customWidth="1"/>
    <col min="2" max="2" width="38.08984375" style="125" bestFit="1" customWidth="1"/>
    <col min="3" max="3" width="17.6328125" style="98" customWidth="1"/>
    <col min="4" max="6" width="17.6328125" style="17" customWidth="1"/>
    <col min="7" max="7" width="2.6328125" style="7" customWidth="1"/>
    <col min="8" max="8" width="27.6328125" style="7" hidden="1" customWidth="1"/>
    <col min="9" max="10" width="8.81640625" style="7" hidden="1" customWidth="1"/>
    <col min="11" max="11" width="33.08984375" style="7" hidden="1" customWidth="1"/>
    <col min="12" max="16384" width="8.81640625" style="7" hidden="1"/>
  </cols>
  <sheetData>
    <row r="1" spans="2:11" x14ac:dyDescent="0.35"/>
    <row r="2" spans="2:11" s="124" customFormat="1" ht="17" x14ac:dyDescent="0.5">
      <c r="B2" s="2" t="s">
        <v>890</v>
      </c>
      <c r="C2" s="2"/>
      <c r="D2" s="2"/>
      <c r="E2" s="2"/>
      <c r="F2" s="2"/>
      <c r="G2" s="7"/>
      <c r="K2" s="7"/>
    </row>
    <row r="3" spans="2:11" x14ac:dyDescent="0.35">
      <c r="B3" s="126"/>
      <c r="C3" s="143"/>
    </row>
    <row r="4" spans="2:11" ht="15.5" x14ac:dyDescent="0.45">
      <c r="B4" s="127" t="s">
        <v>891</v>
      </c>
      <c r="C4" s="144"/>
      <c r="D4" s="145"/>
      <c r="E4" s="145"/>
      <c r="F4" s="145"/>
    </row>
    <row r="5" spans="2:11" s="13" customFormat="1" x14ac:dyDescent="0.35">
      <c r="B5" s="141" t="s">
        <v>892</v>
      </c>
      <c r="C5" s="230" t="s">
        <v>797</v>
      </c>
      <c r="D5" s="132"/>
      <c r="E5" s="132"/>
      <c r="F5" s="132"/>
    </row>
    <row r="6" spans="2:11" x14ac:dyDescent="0.35">
      <c r="K6" s="38"/>
    </row>
    <row r="7" spans="2:11" s="38" customFormat="1" ht="15.5" x14ac:dyDescent="0.45">
      <c r="B7" s="127" t="s">
        <v>893</v>
      </c>
      <c r="C7" s="144"/>
      <c r="D7" s="145"/>
      <c r="E7" s="145"/>
      <c r="F7" s="145"/>
      <c r="G7" s="7"/>
    </row>
    <row r="8" spans="2:11" s="13" customFormat="1" x14ac:dyDescent="0.35">
      <c r="B8" s="128" t="s">
        <v>894</v>
      </c>
      <c r="C8" s="363" t="s">
        <v>895</v>
      </c>
      <c r="D8" s="129" t="s">
        <v>896</v>
      </c>
      <c r="E8" s="129" t="s">
        <v>897</v>
      </c>
      <c r="F8" s="129" t="s">
        <v>898</v>
      </c>
    </row>
    <row r="9" spans="2:11" s="13" customFormat="1" x14ac:dyDescent="0.35">
      <c r="B9" s="133" t="s">
        <v>899</v>
      </c>
      <c r="C9" s="230" t="s">
        <v>797</v>
      </c>
      <c r="D9" s="231" t="s">
        <v>900</v>
      </c>
      <c r="E9" s="120" t="s">
        <v>820</v>
      </c>
      <c r="F9" s="123" t="s">
        <v>832</v>
      </c>
      <c r="G9" s="12"/>
    </row>
    <row r="10" spans="2:11" s="13" customFormat="1" x14ac:dyDescent="0.35">
      <c r="B10" s="133" t="s">
        <v>901</v>
      </c>
      <c r="C10" s="230" t="s">
        <v>797</v>
      </c>
      <c r="D10" s="231" t="s">
        <v>900</v>
      </c>
      <c r="E10" s="120" t="s">
        <v>820</v>
      </c>
      <c r="F10" s="123" t="s">
        <v>832</v>
      </c>
    </row>
    <row r="11" spans="2:11" s="13" customFormat="1" x14ac:dyDescent="0.35">
      <c r="B11" s="133" t="s">
        <v>902</v>
      </c>
      <c r="C11" s="230" t="s">
        <v>797</v>
      </c>
      <c r="D11" s="231" t="s">
        <v>900</v>
      </c>
      <c r="E11" s="120" t="s">
        <v>820</v>
      </c>
      <c r="F11" s="123" t="s">
        <v>832</v>
      </c>
    </row>
    <row r="12" spans="2:11" s="13" customFormat="1" x14ac:dyDescent="0.35">
      <c r="B12" s="133" t="s">
        <v>903</v>
      </c>
      <c r="C12" s="230" t="s">
        <v>797</v>
      </c>
      <c r="D12" s="231" t="s">
        <v>900</v>
      </c>
      <c r="E12" s="120" t="s">
        <v>820</v>
      </c>
      <c r="F12" s="123" t="s">
        <v>832</v>
      </c>
    </row>
    <row r="13" spans="2:11" s="13" customFormat="1" x14ac:dyDescent="0.35">
      <c r="B13" s="133" t="s">
        <v>904</v>
      </c>
      <c r="C13" s="230" t="s">
        <v>797</v>
      </c>
      <c r="D13" s="231" t="s">
        <v>900</v>
      </c>
      <c r="E13" s="120" t="s">
        <v>820</v>
      </c>
      <c r="F13" s="123" t="s">
        <v>832</v>
      </c>
    </row>
    <row r="14" spans="2:11" s="13" customFormat="1" x14ac:dyDescent="0.35">
      <c r="B14" s="133" t="s">
        <v>905</v>
      </c>
      <c r="C14" s="230" t="s">
        <v>797</v>
      </c>
      <c r="D14" s="231" t="s">
        <v>900</v>
      </c>
      <c r="E14" s="120" t="s">
        <v>820</v>
      </c>
      <c r="F14" s="123" t="s">
        <v>832</v>
      </c>
    </row>
    <row r="15" spans="2:11" s="13" customFormat="1" x14ac:dyDescent="0.35">
      <c r="B15" s="133" t="s">
        <v>906</v>
      </c>
      <c r="C15" s="230" t="s">
        <v>797</v>
      </c>
      <c r="D15" s="231" t="s">
        <v>900</v>
      </c>
      <c r="E15" s="120" t="s">
        <v>820</v>
      </c>
      <c r="F15" s="123" t="s">
        <v>832</v>
      </c>
    </row>
    <row r="16" spans="2:11" s="13" customFormat="1" x14ac:dyDescent="0.35">
      <c r="B16" s="133" t="s">
        <v>907</v>
      </c>
      <c r="C16" s="230" t="s">
        <v>797</v>
      </c>
      <c r="D16" s="231" t="s">
        <v>900</v>
      </c>
      <c r="E16" s="120" t="s">
        <v>820</v>
      </c>
      <c r="F16" s="123" t="s">
        <v>832</v>
      </c>
    </row>
    <row r="17" spans="2:6" s="13" customFormat="1" x14ac:dyDescent="0.35">
      <c r="B17" s="133" t="s">
        <v>908</v>
      </c>
      <c r="C17" s="230" t="s">
        <v>797</v>
      </c>
      <c r="D17" s="231" t="s">
        <v>900</v>
      </c>
      <c r="E17" s="120" t="s">
        <v>820</v>
      </c>
      <c r="F17" s="123" t="s">
        <v>832</v>
      </c>
    </row>
    <row r="18" spans="2:6" s="13" customFormat="1" x14ac:dyDescent="0.35">
      <c r="B18" s="134" t="s">
        <v>909</v>
      </c>
      <c r="C18" s="232" t="s">
        <v>797</v>
      </c>
      <c r="D18" s="233" t="s">
        <v>900</v>
      </c>
      <c r="E18" s="121" t="s">
        <v>820</v>
      </c>
      <c r="F18" s="122" t="s">
        <v>832</v>
      </c>
    </row>
    <row r="19" spans="2:6" s="13" customFormat="1" x14ac:dyDescent="0.35">
      <c r="B19" s="135" t="s">
        <v>910</v>
      </c>
      <c r="C19" s="146">
        <f>SUM(C9:C13)</f>
        <v>0</v>
      </c>
      <c r="D19" s="132"/>
      <c r="E19" s="132"/>
      <c r="F19" s="132"/>
    </row>
    <row r="20" spans="2:6" s="13" customFormat="1" x14ac:dyDescent="0.35">
      <c r="B20" s="135" t="s">
        <v>911</v>
      </c>
      <c r="C20" s="146">
        <f>SUM(C14:C18)</f>
        <v>0</v>
      </c>
      <c r="D20" s="132"/>
      <c r="E20" s="132"/>
      <c r="F20" s="132"/>
    </row>
    <row r="21" spans="2:6" s="13" customFormat="1" x14ac:dyDescent="0.35">
      <c r="B21" s="135"/>
      <c r="C21" s="146"/>
      <c r="D21" s="132"/>
      <c r="E21" s="132"/>
      <c r="F21" s="132"/>
    </row>
    <row r="22" spans="2:6" s="13" customFormat="1" x14ac:dyDescent="0.35">
      <c r="B22" s="136" t="s">
        <v>912</v>
      </c>
      <c r="C22" s="363" t="s">
        <v>895</v>
      </c>
      <c r="D22" s="370" t="s">
        <v>913</v>
      </c>
      <c r="E22" s="370"/>
      <c r="F22" s="370"/>
    </row>
    <row r="23" spans="2:6" s="13" customFormat="1" x14ac:dyDescent="0.35">
      <c r="B23" s="360" t="s">
        <v>106</v>
      </c>
      <c r="C23" s="230" t="s">
        <v>797</v>
      </c>
      <c r="D23" s="371"/>
      <c r="E23" s="371"/>
      <c r="F23" s="371"/>
    </row>
    <row r="24" spans="2:6" s="13" customFormat="1" x14ac:dyDescent="0.35">
      <c r="B24" s="360" t="s">
        <v>107</v>
      </c>
      <c r="C24" s="230" t="s">
        <v>797</v>
      </c>
      <c r="D24" s="369"/>
      <c r="E24" s="369"/>
      <c r="F24" s="369"/>
    </row>
    <row r="25" spans="2:6" s="13" customFormat="1" x14ac:dyDescent="0.35">
      <c r="B25" s="360" t="s">
        <v>108</v>
      </c>
      <c r="C25" s="230" t="s">
        <v>797</v>
      </c>
      <c r="D25" s="369"/>
      <c r="E25" s="369"/>
      <c r="F25" s="369"/>
    </row>
    <row r="26" spans="2:6" s="13" customFormat="1" x14ac:dyDescent="0.35">
      <c r="B26" s="360" t="s">
        <v>109</v>
      </c>
      <c r="C26" s="230" t="s">
        <v>797</v>
      </c>
      <c r="D26" s="369"/>
      <c r="E26" s="369"/>
      <c r="F26" s="369"/>
    </row>
    <row r="27" spans="2:6" s="13" customFormat="1" x14ac:dyDescent="0.35">
      <c r="B27" s="360" t="s">
        <v>110</v>
      </c>
      <c r="C27" s="230" t="s">
        <v>797</v>
      </c>
      <c r="D27" s="369"/>
      <c r="E27" s="369"/>
      <c r="F27" s="369"/>
    </row>
    <row r="28" spans="2:6" s="13" customFormat="1" x14ac:dyDescent="0.35">
      <c r="B28" s="361" t="s">
        <v>111</v>
      </c>
      <c r="C28" s="232" t="s">
        <v>797</v>
      </c>
      <c r="D28" s="369"/>
      <c r="E28" s="369"/>
      <c r="F28" s="369"/>
    </row>
    <row r="29" spans="2:6" s="13" customFormat="1" x14ac:dyDescent="0.35">
      <c r="B29" s="135" t="s">
        <v>914</v>
      </c>
      <c r="C29" s="147">
        <f>SUM(C23:C28)</f>
        <v>0</v>
      </c>
      <c r="D29" s="362"/>
      <c r="E29" s="362"/>
      <c r="F29" s="362"/>
    </row>
    <row r="30" spans="2:6" s="13" customFormat="1" x14ac:dyDescent="0.35">
      <c r="B30" s="135"/>
      <c r="C30" s="147"/>
      <c r="D30" s="137"/>
      <c r="E30" s="137"/>
      <c r="F30" s="137"/>
    </row>
    <row r="31" spans="2:6" s="13" customFormat="1" x14ac:dyDescent="0.35">
      <c r="B31" s="136" t="s">
        <v>915</v>
      </c>
      <c r="C31" s="363" t="s">
        <v>895</v>
      </c>
      <c r="D31" s="370" t="s">
        <v>913</v>
      </c>
      <c r="E31" s="370"/>
      <c r="F31" s="370"/>
    </row>
    <row r="32" spans="2:6" s="13" customFormat="1" x14ac:dyDescent="0.35">
      <c r="B32" s="360" t="s">
        <v>916</v>
      </c>
      <c r="C32" s="230" t="s">
        <v>797</v>
      </c>
      <c r="D32" s="371"/>
      <c r="E32" s="371"/>
      <c r="F32" s="371"/>
    </row>
    <row r="33" spans="2:6" s="13" customFormat="1" x14ac:dyDescent="0.35">
      <c r="B33" s="360" t="s">
        <v>917</v>
      </c>
      <c r="C33" s="230" t="s">
        <v>797</v>
      </c>
      <c r="D33" s="369"/>
      <c r="E33" s="369"/>
      <c r="F33" s="369"/>
    </row>
    <row r="34" spans="2:6" s="13" customFormat="1" x14ac:dyDescent="0.35">
      <c r="B34" s="360" t="s">
        <v>918</v>
      </c>
      <c r="C34" s="230" t="s">
        <v>797</v>
      </c>
      <c r="D34" s="369"/>
      <c r="E34" s="369"/>
      <c r="F34" s="369"/>
    </row>
    <row r="35" spans="2:6" s="13" customFormat="1" x14ac:dyDescent="0.35">
      <c r="B35" s="360" t="s">
        <v>919</v>
      </c>
      <c r="C35" s="230" t="s">
        <v>797</v>
      </c>
      <c r="D35" s="369"/>
      <c r="E35" s="369"/>
      <c r="F35" s="369"/>
    </row>
    <row r="36" spans="2:6" s="13" customFormat="1" x14ac:dyDescent="0.35">
      <c r="B36" s="360" t="s">
        <v>920</v>
      </c>
      <c r="C36" s="230" t="s">
        <v>797</v>
      </c>
      <c r="D36" s="369"/>
      <c r="E36" s="369"/>
      <c r="F36" s="369"/>
    </row>
    <row r="37" spans="2:6" s="13" customFormat="1" x14ac:dyDescent="0.35">
      <c r="B37" s="361" t="s">
        <v>921</v>
      </c>
      <c r="C37" s="232" t="s">
        <v>797</v>
      </c>
      <c r="D37" s="369"/>
      <c r="E37" s="369"/>
      <c r="F37" s="369"/>
    </row>
    <row r="38" spans="2:6" s="13" customFormat="1" x14ac:dyDescent="0.35">
      <c r="B38" s="135" t="s">
        <v>915</v>
      </c>
      <c r="C38" s="147">
        <f>SUM(C32:C37)</f>
        <v>0</v>
      </c>
      <c r="D38" s="362"/>
      <c r="E38" s="362"/>
      <c r="F38" s="362"/>
    </row>
    <row r="39" spans="2:6" s="13" customFormat="1" x14ac:dyDescent="0.35">
      <c r="B39" s="135"/>
      <c r="C39" s="147"/>
      <c r="D39" s="137"/>
      <c r="E39" s="137"/>
      <c r="F39" s="137"/>
    </row>
    <row r="40" spans="2:6" s="13" customFormat="1" x14ac:dyDescent="0.35">
      <c r="B40" s="138" t="s">
        <v>922</v>
      </c>
      <c r="C40" s="148">
        <f>SUM(C19:C20,C29,C38)</f>
        <v>0</v>
      </c>
      <c r="D40" s="137"/>
      <c r="E40" s="137"/>
      <c r="F40" s="137"/>
    </row>
    <row r="41" spans="2:6" s="13" customFormat="1" ht="15" thickBot="1" x14ac:dyDescent="0.4">
      <c r="B41" s="142" t="s">
        <v>923</v>
      </c>
      <c r="C41" s="149">
        <f>IFERROR(C40+0,0)+IFERROR(C5+0,0)</f>
        <v>0</v>
      </c>
      <c r="D41" s="140"/>
      <c r="E41" s="140"/>
      <c r="F41" s="132"/>
    </row>
    <row r="42" spans="2:6" s="13" customFormat="1" ht="15" thickTop="1" x14ac:dyDescent="0.35">
      <c r="B42" s="139" t="s">
        <v>924</v>
      </c>
      <c r="C42" s="150">
        <f>Development_Costs!C94</f>
        <v>0</v>
      </c>
      <c r="D42" s="140"/>
      <c r="E42" s="140"/>
      <c r="F42" s="132"/>
    </row>
    <row r="43" spans="2:6" x14ac:dyDescent="0.35"/>
    <row r="44" spans="2:6" ht="15.5" x14ac:dyDescent="0.45">
      <c r="B44" s="127" t="s">
        <v>925</v>
      </c>
      <c r="C44" s="144"/>
      <c r="D44" s="145"/>
      <c r="E44" s="145"/>
      <c r="F44" s="145"/>
    </row>
    <row r="45" spans="2:6" s="13" customFormat="1" x14ac:dyDescent="0.35">
      <c r="B45" s="128" t="s">
        <v>926</v>
      </c>
      <c r="C45" s="151" t="s">
        <v>895</v>
      </c>
      <c r="D45" s="129" t="s">
        <v>896</v>
      </c>
      <c r="E45" s="129" t="s">
        <v>897</v>
      </c>
      <c r="F45" s="129" t="s">
        <v>898</v>
      </c>
    </row>
    <row r="46" spans="2:6" s="13" customFormat="1" x14ac:dyDescent="0.35">
      <c r="B46" s="130" t="s">
        <v>927</v>
      </c>
      <c r="C46" s="234" t="s">
        <v>797</v>
      </c>
      <c r="D46" s="233" t="s">
        <v>900</v>
      </c>
      <c r="E46" s="121" t="s">
        <v>820</v>
      </c>
      <c r="F46" s="152" t="s">
        <v>832</v>
      </c>
    </row>
    <row r="47" spans="2:6" s="13" customFormat="1" x14ac:dyDescent="0.35">
      <c r="B47" s="131"/>
      <c r="C47" s="146"/>
      <c r="D47" s="132"/>
      <c r="E47" s="132"/>
      <c r="F47" s="132"/>
    </row>
  </sheetData>
  <sheetProtection sheet="1" selectLockedCells="1"/>
  <mergeCells count="14">
    <mergeCell ref="D37:F37"/>
    <mergeCell ref="D22:F22"/>
    <mergeCell ref="D31:F31"/>
    <mergeCell ref="D23:F23"/>
    <mergeCell ref="D24:F24"/>
    <mergeCell ref="D25:F25"/>
    <mergeCell ref="D26:F26"/>
    <mergeCell ref="D27:F27"/>
    <mergeCell ref="D28:F28"/>
    <mergeCell ref="D32:F32"/>
    <mergeCell ref="D33:F33"/>
    <mergeCell ref="D34:F34"/>
    <mergeCell ref="D35:F35"/>
    <mergeCell ref="D36:F36"/>
  </mergeCells>
  <phoneticPr fontId="6" type="noConversion"/>
  <dataValidations count="3">
    <dataValidation type="whole" operator="greaterThanOrEqual" allowBlank="1" showInputMessage="1" showErrorMessage="1" sqref="C5 C9:C18 C23:C28 C32:C37 C46 F9:F18 F46" xr:uid="{F3FAB368-364A-40DB-A299-7E77BEF74A92}">
      <formula1>0</formula1>
    </dataValidation>
    <dataValidation type="decimal" operator="lessThanOrEqual" allowBlank="1" showInputMessage="1" showErrorMessage="1" sqref="D9:D18 D46" xr:uid="{9C544503-46EE-4903-870A-58F10F9C1D46}">
      <formula1>1</formula1>
    </dataValidation>
    <dataValidation type="date" operator="greaterThanOrEqual" allowBlank="1" showInputMessage="1" showErrorMessage="1" sqref="E9:E18 E46" xr:uid="{52299C86-64D7-4363-8334-C7E224196BD5}">
      <formula1>36526</formula1>
    </dataValidation>
  </dataValidations>
  <pageMargins left="0.7" right="0.7" top="0.75" bottom="0.75" header="0.3" footer="0.3"/>
  <pageSetup orientation="portrait" r:id="rId1"/>
  <ignoredErrors>
    <ignoredError sqref="C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8E48-7093-40A4-A658-C24F51DA19A0}">
  <sheetPr codeName="Sheet5"/>
  <dimension ref="A1:H100"/>
  <sheetViews>
    <sheetView showGridLines="0" zoomScaleNormal="100" workbookViewId="0">
      <selection activeCell="D86" sqref="D86"/>
    </sheetView>
  </sheetViews>
  <sheetFormatPr defaultColWidth="0" defaultRowHeight="14.5" zeroHeight="1" x14ac:dyDescent="0.35"/>
  <cols>
    <col min="1" max="1" width="2.6328125" style="1" customWidth="1"/>
    <col min="2" max="2" width="35.08984375" style="1" customWidth="1"/>
    <col min="3" max="3" width="4" style="46" customWidth="1"/>
    <col min="4" max="4" width="23.81640625" style="1" customWidth="1"/>
    <col min="5" max="5" width="5" style="46" customWidth="1"/>
    <col min="6" max="6" width="23.81640625" style="1" customWidth="1"/>
    <col min="7" max="7" width="19.7265625" style="1" customWidth="1"/>
    <col min="8" max="8" width="2.6328125" style="1" customWidth="1"/>
    <col min="9" max="16384" width="8.81640625" style="1" hidden="1"/>
  </cols>
  <sheetData>
    <row r="1" spans="2:8" x14ac:dyDescent="0.35">
      <c r="B1" s="8"/>
      <c r="D1" s="8"/>
      <c r="F1" s="8"/>
      <c r="G1" s="8"/>
      <c r="H1" s="8"/>
    </row>
    <row r="2" spans="2:8" ht="17" x14ac:dyDescent="0.5">
      <c r="B2" s="2" t="s">
        <v>928</v>
      </c>
      <c r="C2" s="45"/>
      <c r="D2" s="2"/>
      <c r="E2" s="45"/>
      <c r="F2" s="2"/>
      <c r="G2" s="2"/>
      <c r="H2" s="8"/>
    </row>
    <row r="3" spans="2:8" ht="5.15" customHeight="1" x14ac:dyDescent="0.35">
      <c r="B3" s="8"/>
      <c r="D3" s="8"/>
      <c r="F3" s="8"/>
      <c r="G3" s="8"/>
      <c r="H3" s="8"/>
    </row>
    <row r="4" spans="2:8" x14ac:dyDescent="0.35">
      <c r="B4" s="13" t="s">
        <v>929</v>
      </c>
      <c r="C4" s="47"/>
      <c r="D4" s="13"/>
      <c r="E4" s="47"/>
      <c r="F4" s="13"/>
      <c r="G4" s="13"/>
      <c r="H4" s="8"/>
    </row>
    <row r="5" spans="2:8" x14ac:dyDescent="0.35">
      <c r="B5" s="13"/>
      <c r="C5" s="47"/>
      <c r="D5" s="13"/>
      <c r="E5" s="47"/>
      <c r="F5" s="13"/>
      <c r="G5" s="13"/>
      <c r="H5" s="8"/>
    </row>
    <row r="6" spans="2:8" ht="15.5" x14ac:dyDescent="0.45">
      <c r="B6" s="25" t="s">
        <v>930</v>
      </c>
      <c r="C6" s="48"/>
      <c r="D6" s="25"/>
      <c r="E6" s="48"/>
      <c r="F6" s="25"/>
      <c r="G6" s="25"/>
      <c r="H6" s="8"/>
    </row>
    <row r="7" spans="2:8" ht="5.15" customHeight="1" x14ac:dyDescent="0.35">
      <c r="B7" s="13"/>
      <c r="C7" s="47"/>
      <c r="D7" s="13"/>
      <c r="E7" s="47"/>
      <c r="F7" s="13"/>
      <c r="G7" s="13"/>
      <c r="H7" s="8"/>
    </row>
    <row r="8" spans="2:8" x14ac:dyDescent="0.35">
      <c r="B8" s="18" t="s">
        <v>931</v>
      </c>
      <c r="C8" s="49"/>
      <c r="D8" s="19" t="s">
        <v>932</v>
      </c>
      <c r="E8" s="49"/>
      <c r="F8" s="19" t="s">
        <v>933</v>
      </c>
      <c r="G8" s="13"/>
      <c r="H8" s="8"/>
    </row>
    <row r="9" spans="2:8" x14ac:dyDescent="0.35">
      <c r="B9" s="20" t="s">
        <v>934</v>
      </c>
      <c r="C9" s="50" t="s">
        <v>754</v>
      </c>
      <c r="D9" s="158" t="s">
        <v>935</v>
      </c>
      <c r="E9" s="50" t="s">
        <v>763</v>
      </c>
      <c r="F9" s="158" t="s">
        <v>935</v>
      </c>
      <c r="G9" s="13"/>
      <c r="H9" s="8"/>
    </row>
    <row r="10" spans="2:8" x14ac:dyDescent="0.35">
      <c r="B10" s="20" t="s">
        <v>936</v>
      </c>
      <c r="C10" s="50" t="s">
        <v>756</v>
      </c>
      <c r="D10" s="158" t="s">
        <v>935</v>
      </c>
      <c r="E10" s="50" t="s">
        <v>937</v>
      </c>
      <c r="F10" s="158" t="s">
        <v>935</v>
      </c>
      <c r="G10" s="13"/>
      <c r="H10" s="8"/>
    </row>
    <row r="11" spans="2:8" x14ac:dyDescent="0.35">
      <c r="B11" s="20" t="s">
        <v>938</v>
      </c>
      <c r="C11" s="50" t="s">
        <v>757</v>
      </c>
      <c r="D11" s="158" t="s">
        <v>935</v>
      </c>
      <c r="E11" s="50" t="s">
        <v>939</v>
      </c>
      <c r="F11" s="158" t="s">
        <v>935</v>
      </c>
      <c r="G11" s="13"/>
      <c r="H11" s="8"/>
    </row>
    <row r="12" spans="2:8" x14ac:dyDescent="0.35">
      <c r="B12" s="18" t="s">
        <v>940</v>
      </c>
      <c r="C12" s="49" t="s">
        <v>759</v>
      </c>
      <c r="D12" s="159" t="s">
        <v>935</v>
      </c>
      <c r="E12" s="49" t="s">
        <v>941</v>
      </c>
      <c r="F12" s="159" t="s">
        <v>935</v>
      </c>
      <c r="G12" s="13"/>
      <c r="H12" s="8"/>
    </row>
    <row r="13" spans="2:8" x14ac:dyDescent="0.35">
      <c r="B13" s="13" t="s">
        <v>942</v>
      </c>
      <c r="C13" s="47" t="s">
        <v>761</v>
      </c>
      <c r="D13" s="160" t="s">
        <v>935</v>
      </c>
      <c r="E13" s="47" t="s">
        <v>943</v>
      </c>
      <c r="F13" s="160" t="s">
        <v>935</v>
      </c>
      <c r="G13" s="13"/>
      <c r="H13" s="8"/>
    </row>
    <row r="14" spans="2:8" x14ac:dyDescent="0.35">
      <c r="B14" s="13"/>
      <c r="C14" s="47"/>
      <c r="D14" s="13"/>
      <c r="E14" s="47"/>
      <c r="F14" s="13"/>
      <c r="G14" s="13"/>
      <c r="H14" s="8"/>
    </row>
    <row r="15" spans="2:8" s="9" customFormat="1" ht="15.5" x14ac:dyDescent="0.45">
      <c r="B15" s="25" t="s">
        <v>944</v>
      </c>
      <c r="C15" s="48"/>
      <c r="D15" s="25"/>
      <c r="E15" s="48"/>
      <c r="F15" s="25"/>
      <c r="G15" s="25"/>
    </row>
    <row r="16" spans="2:8" ht="5.15" customHeight="1" x14ac:dyDescent="0.35">
      <c r="B16" s="13"/>
      <c r="C16" s="47"/>
      <c r="D16" s="13"/>
      <c r="E16" s="47"/>
      <c r="F16" s="13"/>
      <c r="G16" s="13"/>
      <c r="H16" s="8"/>
    </row>
    <row r="17" spans="2:7" x14ac:dyDescent="0.35">
      <c r="B17" s="18" t="s">
        <v>931</v>
      </c>
      <c r="C17" s="49"/>
      <c r="D17" s="19" t="s">
        <v>932</v>
      </c>
      <c r="E17" s="49"/>
      <c r="F17" s="19" t="s">
        <v>933</v>
      </c>
      <c r="G17" s="13"/>
    </row>
    <row r="18" spans="2:7" x14ac:dyDescent="0.35">
      <c r="B18" s="20" t="s">
        <v>934</v>
      </c>
      <c r="C18" s="50" t="s">
        <v>765</v>
      </c>
      <c r="D18" s="161" t="s">
        <v>945</v>
      </c>
      <c r="E18" s="50" t="s">
        <v>770</v>
      </c>
      <c r="F18" s="161" t="s">
        <v>945</v>
      </c>
      <c r="G18" s="13"/>
    </row>
    <row r="19" spans="2:7" x14ac:dyDescent="0.35">
      <c r="B19" s="20" t="s">
        <v>936</v>
      </c>
      <c r="C19" s="50" t="s">
        <v>766</v>
      </c>
      <c r="D19" s="161" t="s">
        <v>945</v>
      </c>
      <c r="E19" s="50" t="s">
        <v>771</v>
      </c>
      <c r="F19" s="161" t="s">
        <v>945</v>
      </c>
      <c r="G19" s="13"/>
    </row>
    <row r="20" spans="2:7" x14ac:dyDescent="0.35">
      <c r="B20" s="20" t="s">
        <v>938</v>
      </c>
      <c r="C20" s="50" t="s">
        <v>767</v>
      </c>
      <c r="D20" s="161" t="s">
        <v>945</v>
      </c>
      <c r="E20" s="50" t="s">
        <v>772</v>
      </c>
      <c r="F20" s="161" t="s">
        <v>945</v>
      </c>
      <c r="G20" s="13"/>
    </row>
    <row r="21" spans="2:7" x14ac:dyDescent="0.35">
      <c r="B21" s="18" t="s">
        <v>940</v>
      </c>
      <c r="C21" s="49" t="s">
        <v>768</v>
      </c>
      <c r="D21" s="162" t="s">
        <v>945</v>
      </c>
      <c r="E21" s="49" t="s">
        <v>773</v>
      </c>
      <c r="F21" s="162" t="s">
        <v>945</v>
      </c>
      <c r="G21" s="13"/>
    </row>
    <row r="22" spans="2:7" x14ac:dyDescent="0.35">
      <c r="B22" s="13" t="s">
        <v>946</v>
      </c>
      <c r="C22" s="47" t="s">
        <v>769</v>
      </c>
      <c r="D22" s="163" t="s">
        <v>945</v>
      </c>
      <c r="E22" s="47" t="s">
        <v>774</v>
      </c>
      <c r="F22" s="163" t="s">
        <v>945</v>
      </c>
      <c r="G22" s="13"/>
    </row>
    <row r="23" spans="2:7" x14ac:dyDescent="0.35">
      <c r="B23" s="13"/>
      <c r="C23" s="47"/>
      <c r="D23" s="13"/>
      <c r="E23" s="47"/>
      <c r="F23" s="13"/>
      <c r="G23" s="13"/>
    </row>
    <row r="24" spans="2:7" s="9" customFormat="1" ht="15.5" x14ac:dyDescent="0.45">
      <c r="B24" s="25" t="s">
        <v>947</v>
      </c>
      <c r="C24" s="48"/>
      <c r="D24" s="25"/>
      <c r="E24" s="48"/>
      <c r="F24" s="25"/>
      <c r="G24" s="25"/>
    </row>
    <row r="25" spans="2:7" ht="5.15" customHeight="1" x14ac:dyDescent="0.35">
      <c r="B25" s="13"/>
      <c r="C25" s="47"/>
      <c r="D25" s="13"/>
      <c r="E25" s="47"/>
      <c r="F25" s="13"/>
      <c r="G25" s="13"/>
    </row>
    <row r="26" spans="2:7" x14ac:dyDescent="0.35">
      <c r="B26" s="18" t="s">
        <v>931</v>
      </c>
      <c r="C26" s="49"/>
      <c r="D26" s="19" t="s">
        <v>932</v>
      </c>
      <c r="E26" s="49"/>
      <c r="F26" s="19" t="s">
        <v>933</v>
      </c>
      <c r="G26" s="13"/>
    </row>
    <row r="27" spans="2:7" x14ac:dyDescent="0.35">
      <c r="B27" s="20" t="s">
        <v>934</v>
      </c>
      <c r="C27" s="50" t="s">
        <v>776</v>
      </c>
      <c r="D27" s="164" t="s">
        <v>948</v>
      </c>
      <c r="E27" s="50" t="s">
        <v>781</v>
      </c>
      <c r="F27" s="164" t="s">
        <v>948</v>
      </c>
      <c r="G27" s="13"/>
    </row>
    <row r="28" spans="2:7" x14ac:dyDescent="0.35">
      <c r="B28" s="20" t="s">
        <v>936</v>
      </c>
      <c r="C28" s="50" t="s">
        <v>777</v>
      </c>
      <c r="D28" s="164" t="s">
        <v>948</v>
      </c>
      <c r="E28" s="50" t="s">
        <v>949</v>
      </c>
      <c r="F28" s="164" t="s">
        <v>948</v>
      </c>
      <c r="G28" s="13"/>
    </row>
    <row r="29" spans="2:7" x14ac:dyDescent="0.35">
      <c r="B29" s="20" t="s">
        <v>938</v>
      </c>
      <c r="C29" s="50" t="s">
        <v>778</v>
      </c>
      <c r="D29" s="164" t="s">
        <v>948</v>
      </c>
      <c r="E29" s="50" t="s">
        <v>950</v>
      </c>
      <c r="F29" s="164" t="s">
        <v>948</v>
      </c>
      <c r="G29" s="13"/>
    </row>
    <row r="30" spans="2:7" x14ac:dyDescent="0.35">
      <c r="B30" s="18" t="s">
        <v>940</v>
      </c>
      <c r="C30" s="49" t="s">
        <v>779</v>
      </c>
      <c r="D30" s="165" t="s">
        <v>948</v>
      </c>
      <c r="E30" s="49" t="s">
        <v>951</v>
      </c>
      <c r="F30" s="165" t="s">
        <v>948</v>
      </c>
      <c r="G30" s="13"/>
    </row>
    <row r="31" spans="2:7" x14ac:dyDescent="0.35">
      <c r="B31" s="13" t="s">
        <v>952</v>
      </c>
      <c r="C31" s="47" t="s">
        <v>780</v>
      </c>
      <c r="D31" s="166" t="s">
        <v>948</v>
      </c>
      <c r="E31" s="47" t="s">
        <v>953</v>
      </c>
      <c r="F31" s="166" t="s">
        <v>948</v>
      </c>
      <c r="G31" s="13"/>
    </row>
    <row r="32" spans="2:7" x14ac:dyDescent="0.35">
      <c r="B32" s="13"/>
      <c r="C32" s="47"/>
      <c r="D32" s="13"/>
      <c r="E32" s="47"/>
      <c r="F32" s="13"/>
      <c r="G32" s="13"/>
    </row>
    <row r="33" spans="2:7" s="9" customFormat="1" ht="15.5" x14ac:dyDescent="0.45">
      <c r="B33" s="25" t="s">
        <v>954</v>
      </c>
      <c r="C33" s="48"/>
      <c r="D33" s="25"/>
      <c r="E33" s="48"/>
      <c r="F33" s="25"/>
      <c r="G33" s="25"/>
    </row>
    <row r="34" spans="2:7" ht="5.15" customHeight="1" x14ac:dyDescent="0.35">
      <c r="B34" s="13"/>
      <c r="C34" s="47"/>
      <c r="D34" s="13"/>
      <c r="E34" s="47"/>
      <c r="F34" s="13"/>
      <c r="G34" s="13"/>
    </row>
    <row r="35" spans="2:7" x14ac:dyDescent="0.35">
      <c r="B35" s="18" t="s">
        <v>955</v>
      </c>
      <c r="C35" s="49"/>
      <c r="D35" s="19" t="s">
        <v>932</v>
      </c>
      <c r="E35" s="49"/>
      <c r="F35" s="19" t="s">
        <v>933</v>
      </c>
      <c r="G35" s="13"/>
    </row>
    <row r="36" spans="2:7" x14ac:dyDescent="0.35">
      <c r="B36" s="13" t="s">
        <v>956</v>
      </c>
      <c r="C36" s="50" t="s">
        <v>783</v>
      </c>
      <c r="D36" s="167" t="s">
        <v>957</v>
      </c>
      <c r="E36" s="50" t="s">
        <v>785</v>
      </c>
      <c r="F36" s="167" t="s">
        <v>957</v>
      </c>
      <c r="G36" s="13"/>
    </row>
    <row r="37" spans="2:7" x14ac:dyDescent="0.35">
      <c r="B37" s="13"/>
      <c r="C37" s="47"/>
      <c r="D37" s="13"/>
      <c r="E37" s="47"/>
      <c r="F37" s="13"/>
      <c r="G37" s="13"/>
    </row>
    <row r="38" spans="2:7" s="9" customFormat="1" ht="15.5" x14ac:dyDescent="0.45">
      <c r="B38" s="25" t="s">
        <v>958</v>
      </c>
      <c r="C38" s="48"/>
      <c r="D38" s="25"/>
      <c r="E38" s="48"/>
      <c r="F38" s="25"/>
      <c r="G38" s="25"/>
    </row>
    <row r="39" spans="2:7" ht="5.15" customHeight="1" x14ac:dyDescent="0.35">
      <c r="B39" s="13"/>
      <c r="C39" s="47"/>
      <c r="D39" s="13"/>
      <c r="E39" s="47"/>
      <c r="F39" s="13"/>
      <c r="G39" s="13"/>
    </row>
    <row r="40" spans="2:7" x14ac:dyDescent="0.35">
      <c r="B40" s="18" t="s">
        <v>959</v>
      </c>
      <c r="C40" s="49"/>
      <c r="D40" s="19" t="s">
        <v>932</v>
      </c>
      <c r="E40" s="49"/>
      <c r="F40" s="19" t="s">
        <v>933</v>
      </c>
      <c r="G40" s="13"/>
    </row>
    <row r="41" spans="2:7" x14ac:dyDescent="0.35">
      <c r="B41" s="13" t="s">
        <v>557</v>
      </c>
      <c r="C41" s="50" t="s">
        <v>791</v>
      </c>
      <c r="D41" s="89" t="s">
        <v>800</v>
      </c>
      <c r="E41" s="50" t="s">
        <v>793</v>
      </c>
      <c r="F41" s="89" t="s">
        <v>800</v>
      </c>
      <c r="G41" s="13"/>
    </row>
    <row r="42" spans="2:7" x14ac:dyDescent="0.35">
      <c r="B42" s="13"/>
      <c r="C42" s="47"/>
      <c r="D42" s="13"/>
      <c r="E42" s="47"/>
      <c r="F42" s="13"/>
      <c r="G42" s="13"/>
    </row>
    <row r="43" spans="2:7" s="9" customFormat="1" ht="15.5" x14ac:dyDescent="0.45">
      <c r="B43" s="25" t="s">
        <v>960</v>
      </c>
      <c r="C43" s="48"/>
      <c r="D43" s="25"/>
      <c r="E43" s="48"/>
      <c r="F43" s="25"/>
      <c r="G43" s="25"/>
    </row>
    <row r="44" spans="2:7" ht="5.15" customHeight="1" x14ac:dyDescent="0.35">
      <c r="B44" s="13"/>
      <c r="C44" s="47"/>
      <c r="D44" s="13"/>
      <c r="E44" s="47"/>
      <c r="F44" s="13"/>
      <c r="G44" s="13"/>
    </row>
    <row r="45" spans="2:7" x14ac:dyDescent="0.35">
      <c r="B45" s="18" t="s">
        <v>961</v>
      </c>
      <c r="C45" s="49"/>
      <c r="D45" s="19" t="s">
        <v>932</v>
      </c>
      <c r="E45" s="49"/>
      <c r="F45" s="19" t="s">
        <v>933</v>
      </c>
      <c r="G45" s="13"/>
    </row>
    <row r="46" spans="2:7" x14ac:dyDescent="0.35">
      <c r="B46" s="13" t="s">
        <v>962</v>
      </c>
      <c r="C46" s="50" t="s">
        <v>963</v>
      </c>
      <c r="D46" s="168" t="s">
        <v>964</v>
      </c>
      <c r="E46" s="50" t="s">
        <v>965</v>
      </c>
      <c r="F46" s="168" t="s">
        <v>964</v>
      </c>
      <c r="G46" s="13"/>
    </row>
    <row r="47" spans="2:7" x14ac:dyDescent="0.35">
      <c r="B47" s="13" t="s">
        <v>966</v>
      </c>
      <c r="C47" s="50" t="s">
        <v>967</v>
      </c>
      <c r="D47" s="168" t="s">
        <v>964</v>
      </c>
      <c r="E47" s="50" t="s">
        <v>968</v>
      </c>
      <c r="F47" s="168" t="s">
        <v>964</v>
      </c>
      <c r="G47" s="13"/>
    </row>
    <row r="48" spans="2:7" x14ac:dyDescent="0.35">
      <c r="B48" s="13"/>
      <c r="C48" s="47"/>
      <c r="D48" s="20"/>
      <c r="E48" s="50"/>
      <c r="F48" s="20"/>
      <c r="G48" s="13"/>
    </row>
    <row r="49" spans="2:7" s="8" customFormat="1" ht="15.5" x14ac:dyDescent="0.45">
      <c r="B49" s="24" t="s">
        <v>969</v>
      </c>
      <c r="C49" s="51"/>
      <c r="D49" s="20"/>
      <c r="E49" s="50"/>
      <c r="F49" s="20"/>
      <c r="G49" s="13"/>
    </row>
    <row r="50" spans="2:7" s="9" customFormat="1" ht="16.75" customHeight="1" x14ac:dyDescent="0.45">
      <c r="B50" s="26" t="s">
        <v>970</v>
      </c>
      <c r="C50" s="52"/>
      <c r="D50" s="25"/>
      <c r="E50" s="48"/>
      <c r="F50" s="25"/>
      <c r="G50" s="25"/>
    </row>
    <row r="51" spans="2:7" ht="5.15" customHeight="1" x14ac:dyDescent="0.35">
      <c r="B51" s="13"/>
      <c r="C51" s="47"/>
      <c r="D51" s="13"/>
      <c r="E51" s="47"/>
      <c r="F51" s="13"/>
      <c r="G51" s="13"/>
    </row>
    <row r="52" spans="2:7" x14ac:dyDescent="0.35">
      <c r="B52" s="18" t="s">
        <v>971</v>
      </c>
      <c r="C52" s="49"/>
      <c r="D52" s="19" t="s">
        <v>932</v>
      </c>
      <c r="E52" s="49"/>
      <c r="F52" s="19" t="s">
        <v>933</v>
      </c>
      <c r="G52" s="13"/>
    </row>
    <row r="53" spans="2:7" x14ac:dyDescent="0.35">
      <c r="B53" s="13" t="s">
        <v>972</v>
      </c>
      <c r="C53" s="50" t="s">
        <v>973</v>
      </c>
      <c r="D53" s="169" t="s">
        <v>957</v>
      </c>
      <c r="E53" s="50" t="s">
        <v>974</v>
      </c>
      <c r="F53" s="169" t="s">
        <v>957</v>
      </c>
      <c r="G53" s="13"/>
    </row>
    <row r="54" spans="2:7" x14ac:dyDescent="0.35">
      <c r="B54" s="13" t="s">
        <v>975</v>
      </c>
      <c r="C54" s="50" t="s">
        <v>976</v>
      </c>
      <c r="D54" s="169" t="s">
        <v>957</v>
      </c>
      <c r="E54" s="50" t="s">
        <v>977</v>
      </c>
      <c r="F54" s="169" t="s">
        <v>957</v>
      </c>
      <c r="G54" s="13"/>
    </row>
    <row r="55" spans="2:7" x14ac:dyDescent="0.35">
      <c r="B55" s="13" t="s">
        <v>978</v>
      </c>
      <c r="C55" s="50" t="s">
        <v>979</v>
      </c>
      <c r="D55" s="169" t="s">
        <v>957</v>
      </c>
      <c r="E55" s="50" t="s">
        <v>980</v>
      </c>
      <c r="F55" s="169" t="s">
        <v>957</v>
      </c>
      <c r="G55" s="13"/>
    </row>
    <row r="56" spans="2:7" x14ac:dyDescent="0.35">
      <c r="B56" s="13" t="s">
        <v>981</v>
      </c>
      <c r="C56" s="50" t="s">
        <v>982</v>
      </c>
      <c r="D56" s="169" t="s">
        <v>957</v>
      </c>
      <c r="E56" s="50" t="s">
        <v>983</v>
      </c>
      <c r="F56" s="169" t="s">
        <v>957</v>
      </c>
      <c r="G56" s="13"/>
    </row>
    <row r="57" spans="2:7" x14ac:dyDescent="0.35">
      <c r="B57" s="13" t="s">
        <v>984</v>
      </c>
      <c r="C57" s="50" t="s">
        <v>985</v>
      </c>
      <c r="D57" s="169" t="s">
        <v>957</v>
      </c>
      <c r="E57" s="50" t="s">
        <v>986</v>
      </c>
      <c r="F57" s="169" t="s">
        <v>957</v>
      </c>
      <c r="G57" s="13"/>
    </row>
    <row r="58" spans="2:7" x14ac:dyDescent="0.35">
      <c r="B58" s="13" t="s">
        <v>987</v>
      </c>
      <c r="C58" s="50" t="s">
        <v>988</v>
      </c>
      <c r="D58" s="169" t="s">
        <v>957</v>
      </c>
      <c r="E58" s="50" t="s">
        <v>989</v>
      </c>
      <c r="F58" s="169" t="s">
        <v>957</v>
      </c>
      <c r="G58" s="13"/>
    </row>
    <row r="59" spans="2:7" x14ac:dyDescent="0.35">
      <c r="B59" s="13" t="s">
        <v>990</v>
      </c>
      <c r="C59" s="50" t="s">
        <v>991</v>
      </c>
      <c r="D59" s="169" t="s">
        <v>957</v>
      </c>
      <c r="E59" s="50" t="s">
        <v>992</v>
      </c>
      <c r="F59" s="169" t="s">
        <v>957</v>
      </c>
      <c r="G59" s="13"/>
    </row>
    <row r="60" spans="2:7" x14ac:dyDescent="0.35">
      <c r="B60" s="18" t="s">
        <v>993</v>
      </c>
      <c r="C60" s="49" t="s">
        <v>994</v>
      </c>
      <c r="D60" s="170" t="s">
        <v>957</v>
      </c>
      <c r="E60" s="49" t="s">
        <v>995</v>
      </c>
      <c r="F60" s="170" t="s">
        <v>957</v>
      </c>
      <c r="G60" s="13"/>
    </row>
    <row r="61" spans="2:7" x14ac:dyDescent="0.35">
      <c r="B61" s="13" t="s">
        <v>996</v>
      </c>
      <c r="C61" s="50" t="s">
        <v>997</v>
      </c>
      <c r="D61" s="169" t="s">
        <v>957</v>
      </c>
      <c r="E61" s="50" t="s">
        <v>998</v>
      </c>
      <c r="F61" s="169" t="s">
        <v>957</v>
      </c>
      <c r="G61" s="13"/>
    </row>
    <row r="62" spans="2:7" ht="5.15" customHeight="1" x14ac:dyDescent="0.35">
      <c r="B62" s="13"/>
      <c r="C62" s="50" t="s">
        <v>999</v>
      </c>
      <c r="D62" s="13"/>
      <c r="E62" s="47"/>
      <c r="F62" s="13"/>
      <c r="G62" s="13"/>
    </row>
    <row r="63" spans="2:7" x14ac:dyDescent="0.35">
      <c r="B63" s="18" t="s">
        <v>1000</v>
      </c>
      <c r="C63" s="49"/>
      <c r="D63" s="19" t="s">
        <v>932</v>
      </c>
      <c r="E63" s="49"/>
      <c r="F63" s="19" t="s">
        <v>933</v>
      </c>
      <c r="G63" s="13"/>
    </row>
    <row r="64" spans="2:7" x14ac:dyDescent="0.35">
      <c r="B64" s="13" t="s">
        <v>417</v>
      </c>
      <c r="C64" s="50" t="s">
        <v>1001</v>
      </c>
      <c r="D64" s="171" t="s">
        <v>1002</v>
      </c>
      <c r="E64" s="50" t="s">
        <v>1003</v>
      </c>
      <c r="F64" s="171" t="s">
        <v>1002</v>
      </c>
      <c r="G64" s="13"/>
    </row>
    <row r="65" spans="2:7" x14ac:dyDescent="0.35">
      <c r="B65" s="13"/>
      <c r="C65" s="47"/>
      <c r="D65" s="13"/>
      <c r="E65" s="47"/>
      <c r="F65" s="13"/>
      <c r="G65" s="13"/>
    </row>
    <row r="66" spans="2:7" s="8" customFormat="1" ht="15.5" x14ac:dyDescent="0.45">
      <c r="B66" s="24" t="s">
        <v>1004</v>
      </c>
      <c r="C66" s="51"/>
      <c r="D66" s="20"/>
      <c r="E66" s="50"/>
      <c r="F66" s="20"/>
      <c r="G66" s="13"/>
    </row>
    <row r="67" spans="2:7" ht="5.15" customHeight="1" x14ac:dyDescent="0.35">
      <c r="B67" s="13"/>
      <c r="C67" s="47"/>
      <c r="D67" s="13"/>
      <c r="E67" s="47"/>
      <c r="F67" s="13"/>
      <c r="G67" s="13"/>
    </row>
    <row r="68" spans="2:7" x14ac:dyDescent="0.35">
      <c r="B68" s="18" t="s">
        <v>1005</v>
      </c>
      <c r="C68" s="49"/>
      <c r="D68" s="19" t="s">
        <v>932</v>
      </c>
      <c r="E68" s="49"/>
      <c r="F68" s="19" t="s">
        <v>933</v>
      </c>
      <c r="G68" s="13"/>
    </row>
    <row r="69" spans="2:7" x14ac:dyDescent="0.35">
      <c r="B69" s="22" t="s">
        <v>418</v>
      </c>
      <c r="C69" s="50" t="s">
        <v>1006</v>
      </c>
      <c r="D69" s="171" t="s">
        <v>1002</v>
      </c>
      <c r="E69" s="50" t="s">
        <v>1007</v>
      </c>
      <c r="F69" s="171" t="s">
        <v>1002</v>
      </c>
      <c r="G69" s="13"/>
    </row>
    <row r="70" spans="2:7" x14ac:dyDescent="0.35">
      <c r="B70" s="22" t="s">
        <v>419</v>
      </c>
      <c r="C70" s="50" t="s">
        <v>1008</v>
      </c>
      <c r="D70" s="171" t="s">
        <v>1002</v>
      </c>
      <c r="E70" s="50" t="s">
        <v>1009</v>
      </c>
      <c r="F70" s="171" t="s">
        <v>1002</v>
      </c>
      <c r="G70" s="13"/>
    </row>
    <row r="71" spans="2:7" x14ac:dyDescent="0.35">
      <c r="B71" s="13"/>
      <c r="C71" s="47"/>
      <c r="D71" s="13"/>
      <c r="E71" s="47"/>
      <c r="F71" s="13"/>
      <c r="G71" s="13"/>
    </row>
    <row r="72" spans="2:7" s="8" customFormat="1" ht="15.5" x14ac:dyDescent="0.45">
      <c r="B72" s="24" t="s">
        <v>1010</v>
      </c>
      <c r="C72" s="51"/>
      <c r="D72" s="20"/>
      <c r="E72" s="50"/>
      <c r="F72" s="20"/>
      <c r="G72" s="13"/>
    </row>
    <row r="73" spans="2:7" ht="5.15" customHeight="1" x14ac:dyDescent="0.35">
      <c r="B73" s="13"/>
      <c r="C73" s="47"/>
      <c r="D73" s="13"/>
      <c r="E73" s="47"/>
      <c r="F73" s="13"/>
      <c r="G73" s="13"/>
    </row>
    <row r="74" spans="2:7" x14ac:dyDescent="0.35">
      <c r="B74" s="18" t="s">
        <v>886</v>
      </c>
      <c r="C74" s="49"/>
      <c r="D74" s="19" t="s">
        <v>932</v>
      </c>
      <c r="E74" s="49"/>
      <c r="F74" s="19" t="s">
        <v>933</v>
      </c>
      <c r="G74" s="13"/>
    </row>
    <row r="75" spans="2:7" x14ac:dyDescent="0.35">
      <c r="B75" s="13" t="s">
        <v>420</v>
      </c>
      <c r="C75" s="50" t="s">
        <v>1011</v>
      </c>
      <c r="D75" s="89" t="s">
        <v>800</v>
      </c>
      <c r="E75" s="50" t="s">
        <v>1012</v>
      </c>
      <c r="F75" s="89" t="s">
        <v>800</v>
      </c>
      <c r="G75" s="13"/>
    </row>
    <row r="76" spans="2:7" x14ac:dyDescent="0.35">
      <c r="B76" s="13"/>
      <c r="C76" s="47"/>
      <c r="D76" s="13"/>
      <c r="E76" s="47"/>
      <c r="F76" s="13"/>
      <c r="G76" s="13"/>
    </row>
    <row r="77" spans="2:7" s="8" customFormat="1" ht="15.5" x14ac:dyDescent="0.45">
      <c r="B77" s="24" t="s">
        <v>1013</v>
      </c>
      <c r="C77" s="51"/>
      <c r="D77" s="20"/>
      <c r="E77" s="50"/>
      <c r="F77" s="20"/>
      <c r="G77" s="13"/>
    </row>
    <row r="78" spans="2:7" ht="4.5" customHeight="1" x14ac:dyDescent="0.35">
      <c r="B78" s="13"/>
      <c r="C78" s="47"/>
      <c r="D78" s="13"/>
      <c r="E78" s="47"/>
      <c r="F78" s="13"/>
      <c r="G78" s="13"/>
    </row>
    <row r="79" spans="2:7" x14ac:dyDescent="0.35">
      <c r="B79" s="18" t="s">
        <v>1014</v>
      </c>
      <c r="C79" s="49"/>
      <c r="D79" s="19" t="s">
        <v>932</v>
      </c>
      <c r="E79" s="49"/>
      <c r="F79" s="19" t="s">
        <v>933</v>
      </c>
      <c r="G79" s="13"/>
    </row>
    <row r="80" spans="2:7" x14ac:dyDescent="0.35">
      <c r="B80" s="13" t="s">
        <v>732</v>
      </c>
      <c r="C80" s="50" t="s">
        <v>1015</v>
      </c>
      <c r="D80" s="172" t="s">
        <v>1016</v>
      </c>
      <c r="E80" s="50" t="s">
        <v>1017</v>
      </c>
      <c r="F80" s="172" t="s">
        <v>1016</v>
      </c>
      <c r="G80" s="13"/>
    </row>
    <row r="81" spans="2:7" x14ac:dyDescent="0.35">
      <c r="B81" s="13" t="s">
        <v>1018</v>
      </c>
      <c r="C81" s="50" t="s">
        <v>1019</v>
      </c>
      <c r="D81" s="173" t="s">
        <v>1020</v>
      </c>
      <c r="E81" s="50" t="s">
        <v>1021</v>
      </c>
      <c r="F81" s="173" t="s">
        <v>1020</v>
      </c>
      <c r="G81" s="13"/>
    </row>
    <row r="82" spans="2:7" x14ac:dyDescent="0.35">
      <c r="B82" s="13"/>
      <c r="C82" s="47"/>
      <c r="D82" s="13"/>
      <c r="E82" s="47"/>
      <c r="F82" s="13"/>
      <c r="G82" s="13"/>
    </row>
    <row r="83" spans="2:7" s="8" customFormat="1" ht="15.5" x14ac:dyDescent="0.45">
      <c r="B83" s="24" t="s">
        <v>1022</v>
      </c>
      <c r="C83" s="51"/>
      <c r="D83" s="20"/>
      <c r="E83" s="50"/>
      <c r="F83" s="20"/>
      <c r="G83" s="13"/>
    </row>
    <row r="84" spans="2:7" ht="5.15" customHeight="1" x14ac:dyDescent="0.35">
      <c r="B84" s="13"/>
      <c r="C84" s="47"/>
      <c r="D84" s="13"/>
      <c r="E84" s="47"/>
      <c r="F84" s="8"/>
      <c r="G84" s="13"/>
    </row>
    <row r="85" spans="2:7" x14ac:dyDescent="0.35">
      <c r="B85" s="18" t="s">
        <v>1023</v>
      </c>
      <c r="C85" s="49"/>
      <c r="D85" s="19" t="s">
        <v>1024</v>
      </c>
      <c r="E85" s="8"/>
      <c r="F85" s="8"/>
      <c r="G85" s="13"/>
    </row>
    <row r="86" spans="2:7" x14ac:dyDescent="0.35">
      <c r="B86" s="13" t="s">
        <v>421</v>
      </c>
      <c r="C86" s="50" t="s">
        <v>1025</v>
      </c>
      <c r="D86" s="174" t="s">
        <v>900</v>
      </c>
      <c r="E86" s="8"/>
      <c r="F86" s="8"/>
      <c r="G86" s="13"/>
    </row>
    <row r="87" spans="2:7" x14ac:dyDescent="0.35">
      <c r="B87" s="13"/>
      <c r="C87" s="47"/>
      <c r="D87" s="13"/>
      <c r="E87" s="8"/>
      <c r="F87" s="13"/>
      <c r="G87" s="13"/>
    </row>
    <row r="88" spans="2:7" ht="15.5" x14ac:dyDescent="0.45">
      <c r="B88" s="24" t="s">
        <v>1026</v>
      </c>
      <c r="C88" s="51"/>
      <c r="D88" s="20"/>
      <c r="E88" s="50"/>
      <c r="F88" s="20"/>
      <c r="G88" s="13"/>
    </row>
    <row r="89" spans="2:7" ht="5.15" customHeight="1" x14ac:dyDescent="0.35">
      <c r="B89" s="13"/>
      <c r="C89" s="47"/>
      <c r="D89" s="13"/>
      <c r="E89" s="47"/>
      <c r="F89" s="13"/>
      <c r="G89" s="13"/>
    </row>
    <row r="90" spans="2:7" x14ac:dyDescent="0.35">
      <c r="B90" s="18" t="s">
        <v>1027</v>
      </c>
      <c r="C90" s="49"/>
      <c r="D90" s="19" t="s">
        <v>932</v>
      </c>
      <c r="E90" s="49"/>
      <c r="F90" s="19" t="s">
        <v>933</v>
      </c>
      <c r="G90" s="13"/>
    </row>
    <row r="91" spans="2:7" x14ac:dyDescent="0.35">
      <c r="B91" s="13" t="s">
        <v>580</v>
      </c>
      <c r="C91" s="50" t="s">
        <v>1028</v>
      </c>
      <c r="D91" s="161" t="s">
        <v>1029</v>
      </c>
      <c r="E91" s="50" t="s">
        <v>1030</v>
      </c>
      <c r="F91" s="161" t="s">
        <v>1029</v>
      </c>
      <c r="G91" s="13"/>
    </row>
    <row r="92" spans="2:7" x14ac:dyDescent="0.35">
      <c r="B92" s="13" t="s">
        <v>581</v>
      </c>
      <c r="C92" s="50" t="s">
        <v>1031</v>
      </c>
      <c r="D92" s="175" t="s">
        <v>1032</v>
      </c>
      <c r="E92" s="50" t="s">
        <v>1033</v>
      </c>
      <c r="F92" s="175" t="s">
        <v>1032</v>
      </c>
      <c r="G92" s="13"/>
    </row>
    <row r="93" spans="2:7" x14ac:dyDescent="0.35">
      <c r="B93" s="13" t="s">
        <v>582</v>
      </c>
      <c r="C93" s="50" t="s">
        <v>1034</v>
      </c>
      <c r="D93" s="175" t="s">
        <v>1032</v>
      </c>
      <c r="E93" s="50" t="s">
        <v>1035</v>
      </c>
      <c r="F93" s="175" t="s">
        <v>1032</v>
      </c>
      <c r="G93" s="13"/>
    </row>
    <row r="94" spans="2:7" x14ac:dyDescent="0.35">
      <c r="B94" s="13" t="s">
        <v>583</v>
      </c>
      <c r="C94" s="50" t="s">
        <v>1036</v>
      </c>
      <c r="D94" s="175" t="s">
        <v>1032</v>
      </c>
      <c r="E94" s="50" t="s">
        <v>1037</v>
      </c>
      <c r="F94" s="175" t="s">
        <v>1032</v>
      </c>
      <c r="G94" s="13"/>
    </row>
    <row r="95" spans="2:7" x14ac:dyDescent="0.35">
      <c r="B95" s="8"/>
      <c r="D95" s="8"/>
      <c r="F95" s="8"/>
      <c r="G95" s="8"/>
    </row>
    <row r="96" spans="2:7" hidden="1" x14ac:dyDescent="0.35">
      <c r="B96" s="8"/>
      <c r="D96" s="8"/>
      <c r="F96" s="8"/>
      <c r="G96" s="8"/>
    </row>
    <row r="97" spans="2:6" hidden="1" x14ac:dyDescent="0.35">
      <c r="B97" s="8"/>
      <c r="D97" s="8"/>
      <c r="F97" s="8"/>
    </row>
    <row r="99" spans="2:6" hidden="1" x14ac:dyDescent="0.35">
      <c r="B99" s="8" t="s">
        <v>19</v>
      </c>
      <c r="D99" s="8">
        <f>IFERROR(D13*D22,0)</f>
        <v>0</v>
      </c>
      <c r="F99" s="8">
        <f>IFERROR(F13*F22,0)</f>
        <v>0</v>
      </c>
    </row>
    <row r="100" spans="2:6" hidden="1" x14ac:dyDescent="0.35">
      <c r="B100" s="8" t="s">
        <v>18</v>
      </c>
      <c r="D100" s="8">
        <f>IFERROR(D99+D91,D99)/(1-SUM(D92:D94))</f>
        <v>0</v>
      </c>
      <c r="F100" s="8">
        <f>IFERROR(F99+F91,F99)/(1-SUM(F92:F94))</f>
        <v>0</v>
      </c>
    </row>
  </sheetData>
  <sheetProtection sheet="1" objects="1" scenarios="1" selectLockedCells="1"/>
  <dataValidations count="4">
    <dataValidation type="whole" operator="greaterThanOrEqual" allowBlank="1" showInputMessage="1" showErrorMessage="1" sqref="D9:D13 F9:F13" xr:uid="{B6CEAFD1-29CD-43FE-8176-E6D09282CE89}">
      <formula1>0</formula1>
    </dataValidation>
    <dataValidation type="decimal" operator="greaterThanOrEqual" allowBlank="1" showInputMessage="1" showErrorMessage="1" sqref="D18:D22 F18:F22 F36 D36 D53:D61 F53:F61 D81 F81 D91 F91" xr:uid="{664C9366-61D2-4DA4-B104-3490715F5D3A}">
      <formula1>0</formula1>
    </dataValidation>
    <dataValidation type="decimal" operator="lessThanOrEqual" allowBlank="1" showInputMessage="1" showErrorMessage="1" sqref="F41 D41 D46:D47 F46:F47 D64 F64 D69:D70 F69:F70 D75 F75 F80 D80 D92:D94 F92:F94" xr:uid="{318ADF0A-9B1E-4F90-AE4D-3664F24C6E02}">
      <formula1>1</formula1>
    </dataValidation>
    <dataValidation type="decimal" allowBlank="1" showInputMessage="1" showErrorMessage="1" sqref="D86" xr:uid="{F1D8C733-1F06-426C-9CCA-CBDA85FD2C1A}">
      <formula1>0.0001</formula1>
      <formula2>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C368-BBC5-4292-964B-032324805076}">
  <sheetPr codeName="Sheet6"/>
  <dimension ref="A1:L114"/>
  <sheetViews>
    <sheetView showGridLines="0" topLeftCell="A73" zoomScaleNormal="100" workbookViewId="0">
      <selection activeCell="E99" sqref="E99"/>
    </sheetView>
  </sheetViews>
  <sheetFormatPr defaultColWidth="0" defaultRowHeight="14.5" zeroHeight="1" x14ac:dyDescent="0.35"/>
  <cols>
    <col min="1" max="1" width="2.6328125" style="8" customWidth="1"/>
    <col min="2" max="2" width="4.81640625" style="132" customWidth="1"/>
    <col min="3" max="3" width="38" style="5" customWidth="1"/>
    <col min="4" max="4" width="6.08984375" style="132" customWidth="1"/>
    <col min="5" max="5" width="35.81640625" style="5" customWidth="1"/>
    <col min="6" max="6" width="6.08984375" style="132" customWidth="1"/>
    <col min="7" max="7" width="29.36328125" style="5" customWidth="1"/>
    <col min="8" max="8" width="6.08984375" style="132" customWidth="1"/>
    <col min="9" max="9" width="29.36328125" style="5" customWidth="1"/>
    <col min="10" max="10" width="6.08984375" style="179" customWidth="1"/>
    <col min="11" max="11" width="29.36328125" style="5" customWidth="1"/>
    <col min="12" max="12" width="2.6328125" style="10" customWidth="1"/>
    <col min="13" max="16384" width="8.81640625" style="5" hidden="1"/>
  </cols>
  <sheetData>
    <row r="1" spans="2:12" x14ac:dyDescent="0.35">
      <c r="C1" s="8"/>
      <c r="E1" s="8"/>
      <c r="G1" s="8"/>
      <c r="I1" s="8"/>
      <c r="K1" s="8"/>
    </row>
    <row r="2" spans="2:12" ht="17" x14ac:dyDescent="0.5">
      <c r="B2" s="177" t="s">
        <v>1038</v>
      </c>
      <c r="C2" s="14"/>
      <c r="D2" s="186"/>
      <c r="E2" s="2"/>
      <c r="F2" s="186"/>
      <c r="G2" s="2"/>
      <c r="H2" s="186"/>
      <c r="I2" s="2"/>
      <c r="J2" s="306"/>
      <c r="K2" s="2"/>
      <c r="L2" s="8"/>
    </row>
    <row r="3" spans="2:12" ht="5.15" customHeight="1" x14ac:dyDescent="0.35">
      <c r="B3" s="131"/>
      <c r="C3" s="8"/>
      <c r="E3" s="8"/>
      <c r="G3" s="8"/>
      <c r="I3" s="8"/>
      <c r="K3" s="8"/>
    </row>
    <row r="4" spans="2:12" x14ac:dyDescent="0.35">
      <c r="B4" s="131" t="s">
        <v>1039</v>
      </c>
      <c r="C4" s="8"/>
      <c r="E4" s="13"/>
      <c r="G4" s="13"/>
      <c r="I4" s="13"/>
      <c r="J4" s="132"/>
      <c r="K4" s="13"/>
      <c r="L4" s="30"/>
    </row>
    <row r="5" spans="2:12" x14ac:dyDescent="0.35">
      <c r="B5" s="131"/>
      <c r="C5" s="13"/>
      <c r="E5" s="13"/>
      <c r="G5" s="13"/>
      <c r="I5" s="13"/>
      <c r="J5" s="132"/>
      <c r="K5" s="13"/>
      <c r="L5" s="30"/>
    </row>
    <row r="6" spans="2:12" ht="15.5" x14ac:dyDescent="0.45">
      <c r="B6" s="155" t="s">
        <v>1040</v>
      </c>
      <c r="C6" s="8"/>
      <c r="D6" s="17"/>
      <c r="E6" s="13"/>
      <c r="G6" s="13"/>
      <c r="I6" s="13"/>
      <c r="J6" s="132"/>
      <c r="K6" s="13"/>
      <c r="L6" s="30"/>
    </row>
    <row r="7" spans="2:12" ht="5.15" customHeight="1" x14ac:dyDescent="0.35">
      <c r="C7" s="13"/>
      <c r="E7" s="13"/>
      <c r="G7" s="13"/>
      <c r="I7" s="13"/>
      <c r="J7" s="132"/>
      <c r="K7" s="13"/>
      <c r="L7" s="30"/>
    </row>
    <row r="8" spans="2:12" x14ac:dyDescent="0.35">
      <c r="B8" s="181" t="s">
        <v>1041</v>
      </c>
      <c r="C8" s="18" t="s">
        <v>1042</v>
      </c>
      <c r="D8" s="181" t="s">
        <v>1043</v>
      </c>
      <c r="E8" s="68" t="s">
        <v>1044</v>
      </c>
      <c r="F8" s="181" t="s">
        <v>1045</v>
      </c>
      <c r="G8" s="19" t="s">
        <v>1046</v>
      </c>
      <c r="H8" s="181" t="s">
        <v>1047</v>
      </c>
      <c r="I8" s="19" t="s">
        <v>1048</v>
      </c>
      <c r="J8" s="137"/>
      <c r="K8" s="13"/>
      <c r="L8" s="30"/>
    </row>
    <row r="9" spans="2:12" x14ac:dyDescent="0.35">
      <c r="B9" s="132" t="s">
        <v>754</v>
      </c>
      <c r="C9" s="192" t="s">
        <v>1049</v>
      </c>
      <c r="D9" s="132" t="s">
        <v>765</v>
      </c>
      <c r="E9" s="192" t="s">
        <v>1050</v>
      </c>
      <c r="F9" s="132" t="s">
        <v>776</v>
      </c>
      <c r="G9" s="161" t="s">
        <v>1029</v>
      </c>
      <c r="H9" s="132" t="s">
        <v>783</v>
      </c>
      <c r="I9" s="157" t="s">
        <v>820</v>
      </c>
      <c r="J9" s="137"/>
      <c r="K9" s="13"/>
      <c r="L9" s="30"/>
    </row>
    <row r="10" spans="2:12" x14ac:dyDescent="0.35">
      <c r="B10" s="132" t="s">
        <v>756</v>
      </c>
      <c r="C10" s="192" t="s">
        <v>1049</v>
      </c>
      <c r="D10" s="132" t="s">
        <v>766</v>
      </c>
      <c r="E10" s="192" t="s">
        <v>1050</v>
      </c>
      <c r="F10" s="132" t="s">
        <v>777</v>
      </c>
      <c r="G10" s="161" t="s">
        <v>1029</v>
      </c>
      <c r="H10" s="132" t="s">
        <v>785</v>
      </c>
      <c r="I10" s="157" t="s">
        <v>820</v>
      </c>
      <c r="J10" s="137"/>
      <c r="K10" s="13"/>
      <c r="L10" s="30"/>
    </row>
    <row r="11" spans="2:12" x14ac:dyDescent="0.35">
      <c r="B11" s="132" t="s">
        <v>757</v>
      </c>
      <c r="C11" s="192" t="s">
        <v>1049</v>
      </c>
      <c r="D11" s="132" t="s">
        <v>767</v>
      </c>
      <c r="E11" s="192" t="s">
        <v>1050</v>
      </c>
      <c r="F11" s="132" t="s">
        <v>778</v>
      </c>
      <c r="G11" s="161" t="s">
        <v>1029</v>
      </c>
      <c r="H11" s="132" t="s">
        <v>787</v>
      </c>
      <c r="I11" s="157" t="s">
        <v>820</v>
      </c>
      <c r="J11" s="137"/>
      <c r="K11" s="13"/>
      <c r="L11" s="30"/>
    </row>
    <row r="12" spans="2:12" x14ac:dyDescent="0.35">
      <c r="B12" s="132" t="s">
        <v>759</v>
      </c>
      <c r="C12" s="192" t="s">
        <v>1049</v>
      </c>
      <c r="D12" s="132" t="s">
        <v>768</v>
      </c>
      <c r="E12" s="192" t="s">
        <v>1050</v>
      </c>
      <c r="F12" s="132" t="s">
        <v>779</v>
      </c>
      <c r="G12" s="161" t="s">
        <v>1029</v>
      </c>
      <c r="H12" s="132" t="s">
        <v>1051</v>
      </c>
      <c r="I12" s="157" t="s">
        <v>820</v>
      </c>
      <c r="J12" s="137"/>
      <c r="K12" s="13"/>
      <c r="L12" s="30"/>
    </row>
    <row r="13" spans="2:12" x14ac:dyDescent="0.35">
      <c r="B13" s="132" t="s">
        <v>761</v>
      </c>
      <c r="C13" s="192" t="s">
        <v>1049</v>
      </c>
      <c r="D13" s="132" t="s">
        <v>769</v>
      </c>
      <c r="E13" s="192" t="s">
        <v>1050</v>
      </c>
      <c r="F13" s="132" t="s">
        <v>780</v>
      </c>
      <c r="G13" s="161" t="s">
        <v>1029</v>
      </c>
      <c r="H13" s="132" t="s">
        <v>1052</v>
      </c>
      <c r="I13" s="157" t="s">
        <v>820</v>
      </c>
      <c r="J13" s="137"/>
      <c r="K13" s="13"/>
      <c r="L13" s="30"/>
    </row>
    <row r="14" spans="2:12" x14ac:dyDescent="0.35">
      <c r="B14" s="132" t="s">
        <v>763</v>
      </c>
      <c r="C14" s="192" t="s">
        <v>1049</v>
      </c>
      <c r="D14" s="132" t="s">
        <v>770</v>
      </c>
      <c r="E14" s="192" t="s">
        <v>1050</v>
      </c>
      <c r="F14" s="132" t="s">
        <v>781</v>
      </c>
      <c r="G14" s="161" t="s">
        <v>1029</v>
      </c>
      <c r="H14" s="132" t="s">
        <v>1053</v>
      </c>
      <c r="I14" s="157" t="s">
        <v>820</v>
      </c>
      <c r="J14" s="137"/>
      <c r="K14" s="13"/>
      <c r="L14" s="30"/>
    </row>
    <row r="15" spans="2:12" x14ac:dyDescent="0.35">
      <c r="B15" s="132" t="s">
        <v>937</v>
      </c>
      <c r="C15" s="192" t="s">
        <v>1049</v>
      </c>
      <c r="D15" s="132" t="s">
        <v>771</v>
      </c>
      <c r="E15" s="192" t="s">
        <v>1050</v>
      </c>
      <c r="F15" s="132" t="s">
        <v>949</v>
      </c>
      <c r="G15" s="161" t="s">
        <v>1029</v>
      </c>
      <c r="H15" s="132" t="s">
        <v>1054</v>
      </c>
      <c r="I15" s="157" t="s">
        <v>820</v>
      </c>
      <c r="J15" s="137"/>
      <c r="K15" s="13"/>
      <c r="L15" s="30"/>
    </row>
    <row r="16" spans="2:12" x14ac:dyDescent="0.35">
      <c r="B16" s="132" t="s">
        <v>939</v>
      </c>
      <c r="C16" s="192" t="s">
        <v>1049</v>
      </c>
      <c r="D16" s="132" t="s">
        <v>772</v>
      </c>
      <c r="E16" s="192" t="s">
        <v>1050</v>
      </c>
      <c r="F16" s="132" t="s">
        <v>950</v>
      </c>
      <c r="G16" s="161" t="s">
        <v>1029</v>
      </c>
      <c r="H16" s="132" t="s">
        <v>1055</v>
      </c>
      <c r="I16" s="157" t="s">
        <v>820</v>
      </c>
      <c r="J16" s="137"/>
      <c r="K16" s="13"/>
      <c r="L16" s="30"/>
    </row>
    <row r="17" spans="2:12" x14ac:dyDescent="0.35">
      <c r="B17" s="132" t="s">
        <v>941</v>
      </c>
      <c r="C17" s="192" t="s">
        <v>1049</v>
      </c>
      <c r="D17" s="132" t="s">
        <v>773</v>
      </c>
      <c r="E17" s="192" t="s">
        <v>1050</v>
      </c>
      <c r="F17" s="132" t="s">
        <v>951</v>
      </c>
      <c r="G17" s="161" t="s">
        <v>1029</v>
      </c>
      <c r="H17" s="132" t="s">
        <v>1056</v>
      </c>
      <c r="I17" s="157" t="s">
        <v>820</v>
      </c>
      <c r="J17" s="137"/>
      <c r="K17" s="13"/>
      <c r="L17" s="30"/>
    </row>
    <row r="18" spans="2:12" x14ac:dyDescent="0.35">
      <c r="B18" s="132" t="s">
        <v>943</v>
      </c>
      <c r="C18" s="192" t="s">
        <v>1049</v>
      </c>
      <c r="D18" s="132" t="s">
        <v>774</v>
      </c>
      <c r="E18" s="192" t="s">
        <v>1050</v>
      </c>
      <c r="F18" s="132" t="s">
        <v>953</v>
      </c>
      <c r="G18" s="161" t="s">
        <v>1029</v>
      </c>
      <c r="H18" s="132" t="s">
        <v>1057</v>
      </c>
      <c r="I18" s="157" t="s">
        <v>820</v>
      </c>
      <c r="J18" s="137"/>
      <c r="K18" s="13"/>
      <c r="L18" s="30"/>
    </row>
    <row r="19" spans="2:12" ht="5.15" customHeight="1" x14ac:dyDescent="0.35">
      <c r="C19" s="30"/>
      <c r="D19" s="182"/>
      <c r="E19" s="30"/>
      <c r="F19" s="182"/>
      <c r="G19" s="30"/>
      <c r="H19" s="182"/>
      <c r="I19" s="13"/>
      <c r="J19" s="137"/>
      <c r="K19" s="13"/>
      <c r="L19" s="30"/>
    </row>
    <row r="20" spans="2:12" x14ac:dyDescent="0.35">
      <c r="B20" s="181" t="s">
        <v>1058</v>
      </c>
      <c r="C20" s="18" t="s">
        <v>1059</v>
      </c>
      <c r="D20" s="181" t="s">
        <v>1060</v>
      </c>
      <c r="E20" s="19" t="s">
        <v>1061</v>
      </c>
      <c r="F20" s="181" t="s">
        <v>1062</v>
      </c>
      <c r="G20" s="19" t="s">
        <v>1063</v>
      </c>
      <c r="H20" s="181" t="s">
        <v>1064</v>
      </c>
      <c r="I20" s="19" t="s">
        <v>1065</v>
      </c>
      <c r="J20" s="137"/>
      <c r="K20" s="13"/>
      <c r="L20" s="30"/>
    </row>
    <row r="21" spans="2:12" x14ac:dyDescent="0.35">
      <c r="B21" s="132" t="s">
        <v>791</v>
      </c>
      <c r="C21" s="196" t="s">
        <v>1066</v>
      </c>
      <c r="D21" s="132" t="s">
        <v>963</v>
      </c>
      <c r="E21" s="195" t="s">
        <v>1067</v>
      </c>
      <c r="F21" s="132" t="s">
        <v>973</v>
      </c>
      <c r="G21" s="194" t="s">
        <v>900</v>
      </c>
      <c r="H21" s="132" t="s">
        <v>1006</v>
      </c>
      <c r="I21" s="193" t="s">
        <v>1068</v>
      </c>
      <c r="J21" s="137"/>
      <c r="K21" s="13"/>
      <c r="L21" s="30"/>
    </row>
    <row r="22" spans="2:12" x14ac:dyDescent="0.35">
      <c r="B22" s="132" t="s">
        <v>793</v>
      </c>
      <c r="C22" s="196" t="s">
        <v>1066</v>
      </c>
      <c r="D22" s="132" t="s">
        <v>967</v>
      </c>
      <c r="E22" s="195" t="s">
        <v>1067</v>
      </c>
      <c r="F22" s="132" t="s">
        <v>976</v>
      </c>
      <c r="G22" s="194" t="s">
        <v>900</v>
      </c>
      <c r="H22" s="132" t="s">
        <v>1008</v>
      </c>
      <c r="I22" s="193" t="s">
        <v>1068</v>
      </c>
      <c r="J22" s="137"/>
      <c r="K22" s="13"/>
      <c r="L22" s="30"/>
    </row>
    <row r="23" spans="2:12" x14ac:dyDescent="0.35">
      <c r="B23" s="132" t="s">
        <v>796</v>
      </c>
      <c r="C23" s="196" t="s">
        <v>1066</v>
      </c>
      <c r="D23" s="132" t="s">
        <v>965</v>
      </c>
      <c r="E23" s="195" t="s">
        <v>1067</v>
      </c>
      <c r="F23" s="132" t="s">
        <v>979</v>
      </c>
      <c r="G23" s="194" t="s">
        <v>900</v>
      </c>
      <c r="H23" s="132" t="s">
        <v>1007</v>
      </c>
      <c r="I23" s="193" t="s">
        <v>1068</v>
      </c>
      <c r="J23" s="137"/>
      <c r="K23" s="13"/>
      <c r="L23" s="30"/>
    </row>
    <row r="24" spans="2:12" x14ac:dyDescent="0.35">
      <c r="B24" s="132" t="s">
        <v>799</v>
      </c>
      <c r="C24" s="196" t="s">
        <v>1066</v>
      </c>
      <c r="D24" s="132" t="s">
        <v>968</v>
      </c>
      <c r="E24" s="195" t="s">
        <v>1067</v>
      </c>
      <c r="F24" s="132" t="s">
        <v>982</v>
      </c>
      <c r="G24" s="194" t="s">
        <v>900</v>
      </c>
      <c r="H24" s="132" t="s">
        <v>1009</v>
      </c>
      <c r="I24" s="193" t="s">
        <v>1068</v>
      </c>
      <c r="J24" s="137"/>
      <c r="K24" s="13"/>
      <c r="L24" s="30"/>
    </row>
    <row r="25" spans="2:12" x14ac:dyDescent="0.35">
      <c r="B25" s="132" t="s">
        <v>803</v>
      </c>
      <c r="C25" s="196" t="s">
        <v>1066</v>
      </c>
      <c r="D25" s="132" t="s">
        <v>1069</v>
      </c>
      <c r="E25" s="195" t="s">
        <v>1067</v>
      </c>
      <c r="F25" s="132" t="s">
        <v>985</v>
      </c>
      <c r="G25" s="194" t="s">
        <v>900</v>
      </c>
      <c r="H25" s="132" t="s">
        <v>1070</v>
      </c>
      <c r="I25" s="193" t="s">
        <v>1068</v>
      </c>
      <c r="J25" s="137"/>
      <c r="K25" s="13"/>
      <c r="L25" s="30"/>
    </row>
    <row r="26" spans="2:12" x14ac:dyDescent="0.35">
      <c r="B26" s="132" t="s">
        <v>804</v>
      </c>
      <c r="C26" s="196" t="s">
        <v>1066</v>
      </c>
      <c r="D26" s="132" t="s">
        <v>1071</v>
      </c>
      <c r="E26" s="195" t="s">
        <v>1067</v>
      </c>
      <c r="F26" s="132" t="s">
        <v>988</v>
      </c>
      <c r="G26" s="194" t="s">
        <v>900</v>
      </c>
      <c r="H26" s="132" t="s">
        <v>1072</v>
      </c>
      <c r="I26" s="193" t="s">
        <v>1068</v>
      </c>
      <c r="J26" s="137"/>
      <c r="K26" s="13"/>
      <c r="L26" s="30"/>
    </row>
    <row r="27" spans="2:12" x14ac:dyDescent="0.35">
      <c r="B27" s="132" t="s">
        <v>805</v>
      </c>
      <c r="C27" s="196" t="s">
        <v>1066</v>
      </c>
      <c r="D27" s="132" t="s">
        <v>1073</v>
      </c>
      <c r="E27" s="195" t="s">
        <v>1067</v>
      </c>
      <c r="F27" s="132" t="s">
        <v>991</v>
      </c>
      <c r="G27" s="194" t="s">
        <v>900</v>
      </c>
      <c r="H27" s="132" t="s">
        <v>1074</v>
      </c>
      <c r="I27" s="193" t="s">
        <v>1068</v>
      </c>
      <c r="J27" s="137"/>
      <c r="K27" s="13"/>
      <c r="L27" s="30"/>
    </row>
    <row r="28" spans="2:12" x14ac:dyDescent="0.35">
      <c r="B28" s="132" t="s">
        <v>806</v>
      </c>
      <c r="C28" s="196" t="s">
        <v>1066</v>
      </c>
      <c r="D28" s="132" t="s">
        <v>1075</v>
      </c>
      <c r="E28" s="195" t="s">
        <v>1067</v>
      </c>
      <c r="F28" s="132" t="s">
        <v>994</v>
      </c>
      <c r="G28" s="194" t="s">
        <v>900</v>
      </c>
      <c r="H28" s="132" t="s">
        <v>1076</v>
      </c>
      <c r="I28" s="193" t="s">
        <v>1068</v>
      </c>
      <c r="J28" s="137"/>
      <c r="K28" s="13"/>
      <c r="L28" s="30"/>
    </row>
    <row r="29" spans="2:12" x14ac:dyDescent="0.35">
      <c r="B29" s="132" t="s">
        <v>807</v>
      </c>
      <c r="C29" s="196" t="s">
        <v>1066</v>
      </c>
      <c r="D29" s="132" t="s">
        <v>1077</v>
      </c>
      <c r="E29" s="195" t="s">
        <v>1067</v>
      </c>
      <c r="F29" s="132" t="s">
        <v>997</v>
      </c>
      <c r="G29" s="194" t="s">
        <v>900</v>
      </c>
      <c r="H29" s="132" t="s">
        <v>1078</v>
      </c>
      <c r="I29" s="193" t="s">
        <v>1068</v>
      </c>
      <c r="J29" s="137"/>
      <c r="K29" s="13"/>
      <c r="L29" s="30"/>
    </row>
    <row r="30" spans="2:12" x14ac:dyDescent="0.35">
      <c r="B30" s="132" t="s">
        <v>809</v>
      </c>
      <c r="C30" s="196" t="s">
        <v>1066</v>
      </c>
      <c r="D30" s="132" t="s">
        <v>1079</v>
      </c>
      <c r="E30" s="195" t="s">
        <v>1067</v>
      </c>
      <c r="F30" s="132" t="s">
        <v>974</v>
      </c>
      <c r="G30" s="194" t="s">
        <v>900</v>
      </c>
      <c r="H30" s="132" t="s">
        <v>1080</v>
      </c>
      <c r="I30" s="193" t="s">
        <v>1068</v>
      </c>
      <c r="J30" s="137"/>
      <c r="K30" s="13"/>
      <c r="L30" s="30"/>
    </row>
    <row r="31" spans="2:12" ht="5.15" customHeight="1" x14ac:dyDescent="0.35">
      <c r="C31" s="30"/>
      <c r="D31" s="182"/>
      <c r="E31" s="30"/>
      <c r="F31" s="182"/>
      <c r="G31" s="30"/>
      <c r="H31" s="182"/>
      <c r="I31" s="13"/>
      <c r="J31" s="137"/>
      <c r="K31" s="13"/>
      <c r="L31" s="30"/>
    </row>
    <row r="32" spans="2:12" x14ac:dyDescent="0.35">
      <c r="B32" s="181" t="s">
        <v>1081</v>
      </c>
      <c r="C32" s="18" t="s">
        <v>1082</v>
      </c>
      <c r="D32" s="181" t="s">
        <v>1083</v>
      </c>
      <c r="E32" s="19" t="s">
        <v>728</v>
      </c>
      <c r="F32" s="181" t="s">
        <v>1084</v>
      </c>
      <c r="G32" s="19" t="s">
        <v>735</v>
      </c>
      <c r="H32" s="137"/>
      <c r="I32" s="13"/>
      <c r="J32" s="137"/>
      <c r="K32" s="13"/>
      <c r="L32" s="30"/>
    </row>
    <row r="33" spans="1:12" x14ac:dyDescent="0.35">
      <c r="B33" s="132" t="s">
        <v>1011</v>
      </c>
      <c r="C33" s="197" t="s">
        <v>1085</v>
      </c>
      <c r="D33" s="132" t="s">
        <v>1086</v>
      </c>
      <c r="E33" s="198" t="s">
        <v>1087</v>
      </c>
      <c r="F33" s="132" t="s">
        <v>1088</v>
      </c>
      <c r="G33" s="176" t="s">
        <v>832</v>
      </c>
      <c r="H33" s="137"/>
      <c r="I33" s="13"/>
      <c r="J33" s="132"/>
      <c r="K33" s="13"/>
      <c r="L33" s="30"/>
    </row>
    <row r="34" spans="1:12" x14ac:dyDescent="0.35">
      <c r="B34" s="132" t="s">
        <v>1012</v>
      </c>
      <c r="C34" s="197" t="s">
        <v>1085</v>
      </c>
      <c r="D34" s="132" t="s">
        <v>1089</v>
      </c>
      <c r="E34" s="198" t="s">
        <v>1087</v>
      </c>
      <c r="F34" s="132" t="s">
        <v>1090</v>
      </c>
      <c r="G34" s="176" t="s">
        <v>832</v>
      </c>
      <c r="H34" s="137"/>
      <c r="I34" s="13"/>
      <c r="J34" s="132"/>
      <c r="K34" s="13"/>
      <c r="L34" s="30"/>
    </row>
    <row r="35" spans="1:12" x14ac:dyDescent="0.35">
      <c r="B35" s="132" t="s">
        <v>1091</v>
      </c>
      <c r="C35" s="197" t="s">
        <v>1085</v>
      </c>
      <c r="D35" s="132" t="s">
        <v>1092</v>
      </c>
      <c r="E35" s="198" t="s">
        <v>1087</v>
      </c>
      <c r="F35" s="132" t="s">
        <v>1093</v>
      </c>
      <c r="G35" s="176" t="s">
        <v>832</v>
      </c>
      <c r="H35" s="137"/>
      <c r="I35" s="13"/>
      <c r="J35" s="132"/>
      <c r="K35" s="13"/>
      <c r="L35" s="30"/>
    </row>
    <row r="36" spans="1:12" x14ac:dyDescent="0.35">
      <c r="B36" s="132" t="s">
        <v>1094</v>
      </c>
      <c r="C36" s="197" t="s">
        <v>1085</v>
      </c>
      <c r="D36" s="132" t="s">
        <v>1095</v>
      </c>
      <c r="E36" s="198" t="s">
        <v>1087</v>
      </c>
      <c r="F36" s="132" t="s">
        <v>1096</v>
      </c>
      <c r="G36" s="176" t="s">
        <v>832</v>
      </c>
      <c r="H36" s="137"/>
      <c r="I36" s="13"/>
      <c r="J36" s="132"/>
      <c r="K36" s="13"/>
      <c r="L36" s="30"/>
    </row>
    <row r="37" spans="1:12" x14ac:dyDescent="0.35">
      <c r="B37" s="132" t="s">
        <v>1097</v>
      </c>
      <c r="C37" s="197" t="s">
        <v>1085</v>
      </c>
      <c r="D37" s="132" t="s">
        <v>1098</v>
      </c>
      <c r="E37" s="198" t="s">
        <v>1087</v>
      </c>
      <c r="F37" s="132" t="s">
        <v>1099</v>
      </c>
      <c r="G37" s="176" t="s">
        <v>832</v>
      </c>
      <c r="H37" s="137"/>
      <c r="I37" s="13"/>
      <c r="J37" s="132"/>
      <c r="K37" s="13"/>
      <c r="L37" s="30"/>
    </row>
    <row r="38" spans="1:12" x14ac:dyDescent="0.35">
      <c r="B38" s="132" t="s">
        <v>1100</v>
      </c>
      <c r="C38" s="197" t="s">
        <v>1085</v>
      </c>
      <c r="D38" s="132" t="s">
        <v>1101</v>
      </c>
      <c r="E38" s="198" t="s">
        <v>1087</v>
      </c>
      <c r="F38" s="132" t="s">
        <v>1102</v>
      </c>
      <c r="G38" s="176" t="s">
        <v>832</v>
      </c>
      <c r="H38" s="137"/>
      <c r="I38" s="13"/>
      <c r="J38" s="132"/>
      <c r="K38" s="13"/>
      <c r="L38" s="30"/>
    </row>
    <row r="39" spans="1:12" x14ac:dyDescent="0.35">
      <c r="B39" s="132" t="s">
        <v>1103</v>
      </c>
      <c r="C39" s="197" t="s">
        <v>1085</v>
      </c>
      <c r="D39" s="132" t="s">
        <v>1104</v>
      </c>
      <c r="E39" s="198" t="s">
        <v>1087</v>
      </c>
      <c r="F39" s="132" t="s">
        <v>1105</v>
      </c>
      <c r="G39" s="176" t="s">
        <v>832</v>
      </c>
      <c r="H39" s="137"/>
      <c r="I39" s="13"/>
      <c r="J39" s="132"/>
      <c r="K39" s="13"/>
      <c r="L39" s="30"/>
    </row>
    <row r="40" spans="1:12" s="6" customFormat="1" x14ac:dyDescent="0.35">
      <c r="A40" s="10"/>
      <c r="B40" s="132" t="s">
        <v>1106</v>
      </c>
      <c r="C40" s="197" t="s">
        <v>1085</v>
      </c>
      <c r="D40" s="132" t="s">
        <v>1107</v>
      </c>
      <c r="E40" s="198" t="s">
        <v>1087</v>
      </c>
      <c r="F40" s="132" t="s">
        <v>1108</v>
      </c>
      <c r="G40" s="176" t="s">
        <v>832</v>
      </c>
      <c r="H40" s="137"/>
      <c r="I40" s="13"/>
      <c r="J40" s="132"/>
      <c r="K40" s="30"/>
      <c r="L40" s="30"/>
    </row>
    <row r="41" spans="1:12" s="6" customFormat="1" x14ac:dyDescent="0.35">
      <c r="A41" s="10"/>
      <c r="B41" s="132" t="s">
        <v>1109</v>
      </c>
      <c r="C41" s="197" t="s">
        <v>1085</v>
      </c>
      <c r="D41" s="132" t="s">
        <v>1110</v>
      </c>
      <c r="E41" s="198" t="s">
        <v>1087</v>
      </c>
      <c r="F41" s="132" t="s">
        <v>1111</v>
      </c>
      <c r="G41" s="176" t="s">
        <v>832</v>
      </c>
      <c r="H41" s="137"/>
      <c r="I41" s="13"/>
      <c r="J41" s="132"/>
      <c r="K41" s="30"/>
      <c r="L41" s="30"/>
    </row>
    <row r="42" spans="1:12" s="6" customFormat="1" x14ac:dyDescent="0.35">
      <c r="A42" s="10"/>
      <c r="B42" s="132" t="s">
        <v>1112</v>
      </c>
      <c r="C42" s="197" t="s">
        <v>1085</v>
      </c>
      <c r="D42" s="132" t="s">
        <v>1113</v>
      </c>
      <c r="E42" s="198" t="s">
        <v>1087</v>
      </c>
      <c r="F42" s="132" t="s">
        <v>1114</v>
      </c>
      <c r="G42" s="176" t="s">
        <v>832</v>
      </c>
      <c r="H42" s="137"/>
      <c r="I42" s="13"/>
      <c r="J42" s="132"/>
      <c r="K42" s="30"/>
      <c r="L42" s="30"/>
    </row>
    <row r="43" spans="1:12" s="6" customFormat="1" x14ac:dyDescent="0.35">
      <c r="A43" s="10"/>
      <c r="B43" s="182"/>
      <c r="C43" s="30"/>
      <c r="D43" s="182"/>
      <c r="E43" s="31"/>
      <c r="F43" s="187"/>
      <c r="G43" s="31"/>
      <c r="H43" s="187"/>
      <c r="I43" s="13"/>
      <c r="J43" s="132"/>
      <c r="K43" s="30"/>
      <c r="L43" s="30"/>
    </row>
    <row r="44" spans="1:12" s="6" customFormat="1" ht="15.5" x14ac:dyDescent="0.45">
      <c r="A44" s="10"/>
      <c r="B44" s="155" t="s">
        <v>1115</v>
      </c>
      <c r="C44" s="10"/>
      <c r="D44" s="17"/>
      <c r="E44" s="24"/>
      <c r="F44" s="17"/>
      <c r="G44" s="24"/>
      <c r="H44" s="17"/>
      <c r="I44" s="24"/>
      <c r="J44" s="180"/>
      <c r="K44" s="24"/>
      <c r="L44" s="30"/>
    </row>
    <row r="45" spans="1:12" s="6" customFormat="1" ht="5.15" customHeight="1" x14ac:dyDescent="0.35">
      <c r="A45" s="10"/>
      <c r="B45" s="178"/>
      <c r="C45" s="13"/>
      <c r="D45" s="132"/>
      <c r="E45" s="13"/>
      <c r="F45" s="132"/>
      <c r="G45" s="13"/>
      <c r="H45" s="132"/>
      <c r="I45" s="13"/>
      <c r="J45" s="132"/>
      <c r="K45" s="30"/>
      <c r="L45" s="30"/>
    </row>
    <row r="46" spans="1:12" s="6" customFormat="1" x14ac:dyDescent="0.35">
      <c r="A46" s="10"/>
      <c r="B46" s="19" t="s">
        <v>1116</v>
      </c>
      <c r="C46" s="154"/>
      <c r="D46" s="181" t="s">
        <v>1117</v>
      </c>
      <c r="E46" s="32" t="s">
        <v>1118</v>
      </c>
      <c r="F46" s="181" t="s">
        <v>1119</v>
      </c>
      <c r="G46" s="18" t="s">
        <v>1120</v>
      </c>
      <c r="H46" s="181" t="s">
        <v>1121</v>
      </c>
      <c r="I46" s="32" t="s">
        <v>1122</v>
      </c>
      <c r="J46" s="181" t="s">
        <v>1123</v>
      </c>
      <c r="K46" s="18" t="s">
        <v>1124</v>
      </c>
      <c r="L46" s="30"/>
    </row>
    <row r="47" spans="1:12" s="6" customFormat="1" ht="5.15" customHeight="1" x14ac:dyDescent="0.35">
      <c r="A47" s="10"/>
      <c r="B47" s="178"/>
      <c r="C47" s="10"/>
      <c r="D47" s="182"/>
      <c r="E47" s="30"/>
      <c r="F47" s="132"/>
      <c r="G47" s="13"/>
      <c r="H47" s="132"/>
      <c r="I47" s="13"/>
      <c r="J47" s="132"/>
      <c r="K47" s="13"/>
      <c r="L47" s="30"/>
    </row>
    <row r="48" spans="1:12" s="6" customFormat="1" x14ac:dyDescent="0.35">
      <c r="A48" s="10"/>
      <c r="B48" s="22" t="s">
        <v>722</v>
      </c>
      <c r="C48" s="10"/>
      <c r="D48" s="132" t="s">
        <v>1125</v>
      </c>
      <c r="E48" s="199" t="s">
        <v>1126</v>
      </c>
      <c r="F48" s="132" t="s">
        <v>1127</v>
      </c>
      <c r="G48" s="199" t="s">
        <v>1126</v>
      </c>
      <c r="H48" s="132" t="s">
        <v>1128</v>
      </c>
      <c r="I48" s="199" t="s">
        <v>1126</v>
      </c>
      <c r="J48" s="132" t="s">
        <v>1129</v>
      </c>
      <c r="K48" s="199" t="s">
        <v>1126</v>
      </c>
      <c r="L48" s="30"/>
    </row>
    <row r="49" spans="1:12" s="6" customFormat="1" x14ac:dyDescent="0.35">
      <c r="A49" s="10"/>
      <c r="B49" s="27" t="s">
        <v>723</v>
      </c>
      <c r="C49" s="10"/>
      <c r="D49" s="132" t="s">
        <v>1130</v>
      </c>
      <c r="E49" s="200" t="s">
        <v>1131</v>
      </c>
      <c r="F49" s="132" t="s">
        <v>1132</v>
      </c>
      <c r="G49" s="200" t="s">
        <v>1131</v>
      </c>
      <c r="H49" s="132" t="s">
        <v>1133</v>
      </c>
      <c r="I49" s="200" t="s">
        <v>1131</v>
      </c>
      <c r="J49" s="132" t="s">
        <v>1134</v>
      </c>
      <c r="K49" s="200" t="s">
        <v>1131</v>
      </c>
      <c r="L49" s="30"/>
    </row>
    <row r="50" spans="1:12" s="6" customFormat="1" ht="5.15" customHeight="1" x14ac:dyDescent="0.35">
      <c r="A50" s="10"/>
      <c r="B50" s="131"/>
      <c r="C50" s="10"/>
      <c r="D50" s="132"/>
      <c r="E50" s="30"/>
      <c r="F50" s="182"/>
      <c r="G50" s="30"/>
      <c r="H50" s="132"/>
      <c r="I50" s="30"/>
      <c r="J50" s="132"/>
      <c r="K50" s="30"/>
      <c r="L50" s="30"/>
    </row>
    <row r="51" spans="1:12" s="6" customFormat="1" x14ac:dyDescent="0.35">
      <c r="A51" s="10"/>
      <c r="B51" s="27" t="s">
        <v>724</v>
      </c>
      <c r="C51" s="10"/>
      <c r="D51" s="132" t="s">
        <v>1135</v>
      </c>
      <c r="E51" s="201" t="s">
        <v>1066</v>
      </c>
      <c r="F51" s="132" t="s">
        <v>1136</v>
      </c>
      <c r="G51" s="201" t="s">
        <v>1066</v>
      </c>
      <c r="H51" s="132" t="s">
        <v>1137</v>
      </c>
      <c r="I51" s="201" t="s">
        <v>1066</v>
      </c>
      <c r="J51" s="132" t="s">
        <v>1138</v>
      </c>
      <c r="K51" s="201" t="s">
        <v>1066</v>
      </c>
      <c r="L51" s="30"/>
    </row>
    <row r="52" spans="1:12" s="6" customFormat="1" x14ac:dyDescent="0.35">
      <c r="A52" s="10"/>
      <c r="B52" s="27" t="s">
        <v>725</v>
      </c>
      <c r="C52" s="10"/>
      <c r="D52" s="132" t="s">
        <v>1139</v>
      </c>
      <c r="E52" s="202" t="s">
        <v>1067</v>
      </c>
      <c r="F52" s="132" t="s">
        <v>1140</v>
      </c>
      <c r="G52" s="202" t="s">
        <v>1067</v>
      </c>
      <c r="H52" s="132" t="s">
        <v>1141</v>
      </c>
      <c r="I52" s="202" t="s">
        <v>1067</v>
      </c>
      <c r="J52" s="132" t="s">
        <v>1142</v>
      </c>
      <c r="K52" s="202" t="s">
        <v>1067</v>
      </c>
      <c r="L52" s="30"/>
    </row>
    <row r="53" spans="1:12" s="6" customFormat="1" x14ac:dyDescent="0.35">
      <c r="A53" s="10"/>
      <c r="B53" s="22" t="s">
        <v>726</v>
      </c>
      <c r="C53" s="10"/>
      <c r="D53" s="132" t="s">
        <v>1143</v>
      </c>
      <c r="E53" s="203" t="s">
        <v>800</v>
      </c>
      <c r="F53" s="132" t="s">
        <v>1144</v>
      </c>
      <c r="G53" s="203" t="s">
        <v>800</v>
      </c>
      <c r="H53" s="132" t="s">
        <v>1145</v>
      </c>
      <c r="I53" s="203" t="s">
        <v>800</v>
      </c>
      <c r="J53" s="132" t="s">
        <v>1146</v>
      </c>
      <c r="K53" s="203" t="s">
        <v>800</v>
      </c>
      <c r="L53" s="30"/>
    </row>
    <row r="54" spans="1:12" s="6" customFormat="1" x14ac:dyDescent="0.35">
      <c r="A54" s="10"/>
      <c r="B54" s="22" t="s">
        <v>727</v>
      </c>
      <c r="C54" s="10"/>
      <c r="D54" s="132" t="s">
        <v>1147</v>
      </c>
      <c r="E54" s="204" t="s">
        <v>832</v>
      </c>
      <c r="F54" s="132" t="s">
        <v>1148</v>
      </c>
      <c r="G54" s="204" t="s">
        <v>832</v>
      </c>
      <c r="H54" s="132" t="s">
        <v>1149</v>
      </c>
      <c r="I54" s="204" t="s">
        <v>832</v>
      </c>
      <c r="J54" s="132" t="s">
        <v>1150</v>
      </c>
      <c r="K54" s="204" t="s">
        <v>832</v>
      </c>
      <c r="L54" s="30"/>
    </row>
    <row r="55" spans="1:12" s="6" customFormat="1" x14ac:dyDescent="0.35">
      <c r="A55" s="10"/>
      <c r="B55" s="27" t="s">
        <v>728</v>
      </c>
      <c r="C55" s="10"/>
      <c r="D55" s="132" t="s">
        <v>1151</v>
      </c>
      <c r="E55" s="198" t="s">
        <v>1087</v>
      </c>
      <c r="F55" s="132" t="s">
        <v>1152</v>
      </c>
      <c r="G55" s="198" t="s">
        <v>1087</v>
      </c>
      <c r="H55" s="132" t="s">
        <v>1153</v>
      </c>
      <c r="I55" s="198" t="s">
        <v>1087</v>
      </c>
      <c r="J55" s="132" t="s">
        <v>1154</v>
      </c>
      <c r="K55" s="198" t="s">
        <v>1087</v>
      </c>
      <c r="L55" s="30"/>
    </row>
    <row r="56" spans="1:12" s="6" customFormat="1" x14ac:dyDescent="0.35">
      <c r="A56" s="10"/>
      <c r="B56" s="27" t="s">
        <v>729</v>
      </c>
      <c r="C56" s="10"/>
      <c r="D56" s="132" t="s">
        <v>1155</v>
      </c>
      <c r="E56" s="197" t="s">
        <v>1085</v>
      </c>
      <c r="F56" s="132" t="s">
        <v>1156</v>
      </c>
      <c r="G56" s="197" t="s">
        <v>1085</v>
      </c>
      <c r="H56" s="132" t="s">
        <v>1157</v>
      </c>
      <c r="I56" s="197" t="s">
        <v>1085</v>
      </c>
      <c r="J56" s="132" t="s">
        <v>1158</v>
      </c>
      <c r="K56" s="197" t="s">
        <v>1085</v>
      </c>
      <c r="L56" s="30"/>
    </row>
    <row r="57" spans="1:12" s="6" customFormat="1" ht="5.15" customHeight="1" x14ac:dyDescent="0.35">
      <c r="A57" s="10"/>
      <c r="B57" s="131"/>
      <c r="C57" s="10"/>
      <c r="D57" s="132"/>
      <c r="E57" s="30"/>
      <c r="F57" s="182"/>
      <c r="G57" s="30"/>
      <c r="H57" s="182"/>
      <c r="I57" s="30"/>
      <c r="J57" s="182"/>
      <c r="K57" s="30"/>
      <c r="L57" s="30"/>
    </row>
    <row r="58" spans="1:12" s="6" customFormat="1" x14ac:dyDescent="0.35">
      <c r="A58" s="10"/>
      <c r="B58" s="27" t="s">
        <v>730</v>
      </c>
      <c r="C58" s="10"/>
      <c r="D58" s="132" t="s">
        <v>1159</v>
      </c>
      <c r="E58" s="205" t="s">
        <v>1160</v>
      </c>
      <c r="F58" s="132" t="s">
        <v>1161</v>
      </c>
      <c r="G58" s="205" t="s">
        <v>1160</v>
      </c>
      <c r="H58" s="132" t="s">
        <v>1162</v>
      </c>
      <c r="I58" s="205" t="s">
        <v>1160</v>
      </c>
      <c r="J58" s="132" t="s">
        <v>1163</v>
      </c>
      <c r="K58" s="205" t="s">
        <v>1160</v>
      </c>
      <c r="L58" s="30"/>
    </row>
    <row r="59" spans="1:12" s="6" customFormat="1" x14ac:dyDescent="0.35">
      <c r="A59" s="10"/>
      <c r="B59" s="27" t="s">
        <v>731</v>
      </c>
      <c r="C59" s="10"/>
      <c r="D59" s="132" t="s">
        <v>1164</v>
      </c>
      <c r="E59" s="205" t="s">
        <v>1160</v>
      </c>
      <c r="F59" s="132" t="s">
        <v>1165</v>
      </c>
      <c r="G59" s="205" t="s">
        <v>1160</v>
      </c>
      <c r="H59" s="132" t="s">
        <v>1166</v>
      </c>
      <c r="I59" s="205" t="s">
        <v>1160</v>
      </c>
      <c r="J59" s="132" t="s">
        <v>1167</v>
      </c>
      <c r="K59" s="205" t="s">
        <v>1160</v>
      </c>
      <c r="L59" s="30"/>
    </row>
    <row r="60" spans="1:12" s="6" customFormat="1" ht="5.15" customHeight="1" x14ac:dyDescent="0.35">
      <c r="A60" s="10"/>
      <c r="B60" s="131"/>
      <c r="C60" s="10"/>
      <c r="D60" s="132"/>
      <c r="E60" s="13"/>
      <c r="F60" s="132"/>
      <c r="G60" s="13"/>
      <c r="H60" s="132"/>
      <c r="I60" s="13"/>
      <c r="J60" s="132"/>
      <c r="K60" s="13"/>
      <c r="L60" s="30"/>
    </row>
    <row r="61" spans="1:12" s="6" customFormat="1" x14ac:dyDescent="0.35">
      <c r="A61" s="10"/>
      <c r="B61" s="27" t="s">
        <v>732</v>
      </c>
      <c r="C61" s="10"/>
      <c r="D61" s="132" t="s">
        <v>1168</v>
      </c>
      <c r="E61" s="206" t="s">
        <v>1169</v>
      </c>
      <c r="F61" s="132" t="s">
        <v>1170</v>
      </c>
      <c r="G61" s="206" t="s">
        <v>1169</v>
      </c>
      <c r="H61" s="132" t="s">
        <v>1171</v>
      </c>
      <c r="I61" s="206" t="s">
        <v>1169</v>
      </c>
      <c r="J61" s="132" t="s">
        <v>1172</v>
      </c>
      <c r="K61" s="206" t="s">
        <v>1169</v>
      </c>
      <c r="L61" s="30"/>
    </row>
    <row r="62" spans="1:12" s="6" customFormat="1" x14ac:dyDescent="0.35">
      <c r="A62" s="10"/>
      <c r="B62" s="27" t="s">
        <v>733</v>
      </c>
      <c r="C62" s="10"/>
      <c r="D62" s="132" t="s">
        <v>1173</v>
      </c>
      <c r="E62" s="207" t="s">
        <v>1126</v>
      </c>
      <c r="F62" s="132" t="s">
        <v>1174</v>
      </c>
      <c r="G62" s="207" t="s">
        <v>1126</v>
      </c>
      <c r="H62" s="132" t="s">
        <v>1175</v>
      </c>
      <c r="I62" s="207" t="s">
        <v>1126</v>
      </c>
      <c r="J62" s="132" t="s">
        <v>1176</v>
      </c>
      <c r="K62" s="207" t="s">
        <v>1126</v>
      </c>
      <c r="L62" s="30"/>
    </row>
    <row r="63" spans="1:12" s="6" customFormat="1" x14ac:dyDescent="0.35">
      <c r="A63" s="10"/>
      <c r="B63" s="27" t="s">
        <v>734</v>
      </c>
      <c r="C63" s="10"/>
      <c r="D63" s="132" t="s">
        <v>1177</v>
      </c>
      <c r="E63" s="193" t="s">
        <v>1068</v>
      </c>
      <c r="F63" s="132" t="s">
        <v>1178</v>
      </c>
      <c r="G63" s="193" t="s">
        <v>1068</v>
      </c>
      <c r="H63" s="132" t="s">
        <v>1179</v>
      </c>
      <c r="I63" s="193" t="s">
        <v>1068</v>
      </c>
      <c r="J63" s="132" t="s">
        <v>1180</v>
      </c>
      <c r="K63" s="193" t="s">
        <v>1068</v>
      </c>
      <c r="L63" s="30"/>
    </row>
    <row r="64" spans="1:12" s="6" customFormat="1" x14ac:dyDescent="0.35">
      <c r="A64" s="10"/>
      <c r="B64" s="178"/>
      <c r="C64" s="30"/>
      <c r="D64" s="132"/>
      <c r="E64" s="13"/>
      <c r="F64" s="132"/>
      <c r="G64" s="13"/>
      <c r="H64" s="132"/>
      <c r="I64" s="13"/>
      <c r="J64" s="132"/>
      <c r="K64" s="30"/>
      <c r="L64" s="30"/>
    </row>
    <row r="65" spans="1:12" s="6" customFormat="1" ht="15.5" x14ac:dyDescent="0.45">
      <c r="A65" s="10"/>
      <c r="B65" s="155" t="s">
        <v>1181</v>
      </c>
      <c r="C65" s="364"/>
      <c r="D65" s="183"/>
      <c r="E65" s="364"/>
      <c r="F65" s="183"/>
      <c r="G65" s="364"/>
      <c r="H65" s="183"/>
      <c r="I65" s="10"/>
      <c r="J65" s="183"/>
      <c r="K65" s="30"/>
      <c r="L65" s="30"/>
    </row>
    <row r="66" spans="1:12" s="6" customFormat="1" ht="5.15" customHeight="1" x14ac:dyDescent="0.35">
      <c r="A66" s="10"/>
      <c r="B66" s="178"/>
      <c r="C66" s="30"/>
      <c r="D66" s="182"/>
      <c r="E66" s="13"/>
      <c r="F66" s="132"/>
      <c r="G66" s="13"/>
      <c r="H66" s="132"/>
      <c r="I66" s="13"/>
      <c r="J66" s="132"/>
      <c r="K66" s="30"/>
      <c r="L66" s="30"/>
    </row>
    <row r="67" spans="1:12" s="6" customFormat="1" x14ac:dyDescent="0.35">
      <c r="A67" s="10"/>
      <c r="B67" s="19" t="s">
        <v>1182</v>
      </c>
      <c r="C67" s="154"/>
      <c r="D67" s="181"/>
      <c r="E67" s="19"/>
      <c r="F67" s="137"/>
      <c r="G67" s="13"/>
      <c r="H67" s="132"/>
      <c r="I67" s="13"/>
      <c r="J67" s="132"/>
      <c r="K67" s="30"/>
      <c r="L67" s="30"/>
    </row>
    <row r="68" spans="1:12" s="6" customFormat="1" x14ac:dyDescent="0.35">
      <c r="A68" s="10"/>
      <c r="B68" s="131" t="s">
        <v>401</v>
      </c>
      <c r="C68" s="10"/>
      <c r="D68" s="132" t="s">
        <v>1183</v>
      </c>
      <c r="E68" s="208" t="s">
        <v>1184</v>
      </c>
      <c r="F68" s="137"/>
      <c r="G68" s="13"/>
      <c r="H68" s="132"/>
      <c r="I68" s="13"/>
      <c r="J68" s="132"/>
      <c r="K68" s="30"/>
      <c r="L68" s="30"/>
    </row>
    <row r="69" spans="1:12" s="6" customFormat="1" x14ac:dyDescent="0.35">
      <c r="A69" s="10"/>
      <c r="B69" s="131" t="s">
        <v>402</v>
      </c>
      <c r="C69" s="10"/>
      <c r="D69" s="132" t="s">
        <v>1185</v>
      </c>
      <c r="E69" s="209" t="s">
        <v>800</v>
      </c>
      <c r="F69" s="137"/>
      <c r="G69" s="13"/>
      <c r="H69" s="132"/>
      <c r="I69" s="13"/>
      <c r="J69" s="132"/>
      <c r="K69" s="30"/>
      <c r="L69" s="30"/>
    </row>
    <row r="70" spans="1:12" x14ac:dyDescent="0.35">
      <c r="B70" s="131"/>
      <c r="C70" s="13"/>
      <c r="E70" s="20"/>
      <c r="F70" s="137"/>
      <c r="G70" s="20"/>
      <c r="H70" s="137"/>
      <c r="I70" s="13"/>
      <c r="J70" s="132"/>
      <c r="K70" s="13"/>
      <c r="L70" s="30"/>
    </row>
    <row r="71" spans="1:12" s="8" customFormat="1" ht="15.65" customHeight="1" x14ac:dyDescent="0.45">
      <c r="B71" s="155" t="s">
        <v>1186</v>
      </c>
      <c r="C71" s="155"/>
      <c r="D71" s="180"/>
      <c r="E71" s="155"/>
      <c r="F71" s="180"/>
      <c r="G71" s="155"/>
      <c r="H71" s="180"/>
      <c r="J71" s="183"/>
      <c r="K71" s="13"/>
      <c r="L71" s="30"/>
    </row>
    <row r="72" spans="1:12" ht="13.4" customHeight="1" x14ac:dyDescent="0.35">
      <c r="B72" s="126" t="s">
        <v>1187</v>
      </c>
      <c r="C72" s="126"/>
      <c r="D72" s="17"/>
      <c r="E72" s="126"/>
      <c r="F72" s="17"/>
      <c r="G72" s="126"/>
      <c r="H72" s="17"/>
      <c r="I72" s="8"/>
      <c r="J72" s="184"/>
      <c r="K72" s="13"/>
      <c r="L72" s="30"/>
    </row>
    <row r="73" spans="1:12" ht="5.15" customHeight="1" x14ac:dyDescent="0.35">
      <c r="B73" s="131"/>
      <c r="C73" s="13"/>
      <c r="E73" s="13"/>
      <c r="G73" s="13"/>
      <c r="I73" s="13"/>
      <c r="J73" s="132"/>
      <c r="K73" s="13"/>
      <c r="L73" s="30"/>
    </row>
    <row r="74" spans="1:12" x14ac:dyDescent="0.35">
      <c r="B74" s="19" t="s">
        <v>971</v>
      </c>
      <c r="C74" s="156"/>
      <c r="D74" s="181"/>
      <c r="E74" s="19" t="s">
        <v>1188</v>
      </c>
      <c r="F74" s="181"/>
      <c r="G74" s="19" t="s">
        <v>1189</v>
      </c>
      <c r="H74" s="137"/>
      <c r="I74" s="13"/>
      <c r="J74" s="132"/>
      <c r="K74" s="13"/>
      <c r="L74" s="30"/>
    </row>
    <row r="75" spans="1:12" x14ac:dyDescent="0.35">
      <c r="B75" s="22" t="s">
        <v>981</v>
      </c>
      <c r="C75" s="8"/>
      <c r="D75" s="132" t="s">
        <v>1190</v>
      </c>
      <c r="E75" s="195" t="s">
        <v>1067</v>
      </c>
      <c r="F75" s="132" t="s">
        <v>1191</v>
      </c>
      <c r="G75" s="192" t="s">
        <v>1192</v>
      </c>
      <c r="H75" s="137"/>
      <c r="I75" s="13"/>
      <c r="J75" s="132"/>
      <c r="K75" s="13"/>
      <c r="L75" s="30"/>
    </row>
    <row r="76" spans="1:12" x14ac:dyDescent="0.35">
      <c r="B76" s="22" t="s">
        <v>984</v>
      </c>
      <c r="C76" s="8"/>
      <c r="D76" s="132" t="s">
        <v>1193</v>
      </c>
      <c r="E76" s="195" t="s">
        <v>1067</v>
      </c>
      <c r="F76" s="132" t="s">
        <v>1194</v>
      </c>
      <c r="G76" s="192" t="s">
        <v>1192</v>
      </c>
      <c r="H76" s="137"/>
      <c r="I76" s="13"/>
      <c r="J76" s="132"/>
      <c r="K76" s="13"/>
      <c r="L76" s="30"/>
    </row>
    <row r="77" spans="1:12" x14ac:dyDescent="0.35">
      <c r="B77" s="22" t="s">
        <v>987</v>
      </c>
      <c r="C77" s="8"/>
      <c r="D77" s="132" t="s">
        <v>1195</v>
      </c>
      <c r="E77" s="195" t="s">
        <v>1067</v>
      </c>
      <c r="F77" s="132" t="s">
        <v>1196</v>
      </c>
      <c r="G77" s="192" t="s">
        <v>1192</v>
      </c>
      <c r="H77" s="137"/>
      <c r="I77" s="13"/>
      <c r="J77" s="132"/>
      <c r="K77" s="13"/>
      <c r="L77" s="30"/>
    </row>
    <row r="78" spans="1:12" x14ac:dyDescent="0.35">
      <c r="B78" s="22" t="s">
        <v>990</v>
      </c>
      <c r="C78" s="8"/>
      <c r="D78" s="132" t="s">
        <v>1197</v>
      </c>
      <c r="E78" s="195" t="s">
        <v>1067</v>
      </c>
      <c r="F78" s="132" t="s">
        <v>1198</v>
      </c>
      <c r="G78" s="192" t="s">
        <v>1192</v>
      </c>
      <c r="H78" s="137"/>
      <c r="I78" s="13"/>
      <c r="J78" s="132"/>
      <c r="K78" s="13"/>
      <c r="L78" s="30"/>
    </row>
    <row r="79" spans="1:12" x14ac:dyDescent="0.35">
      <c r="B79" s="28" t="s">
        <v>993</v>
      </c>
      <c r="C79" s="156"/>
      <c r="D79" s="181" t="s">
        <v>1199</v>
      </c>
      <c r="E79" s="210" t="s">
        <v>1067</v>
      </c>
      <c r="F79" s="181" t="s">
        <v>1200</v>
      </c>
      <c r="G79" s="211" t="s">
        <v>1192</v>
      </c>
      <c r="H79" s="137"/>
      <c r="I79" s="13"/>
      <c r="J79" s="132"/>
      <c r="K79" s="13"/>
      <c r="L79" s="30"/>
    </row>
    <row r="80" spans="1:12" x14ac:dyDescent="0.35">
      <c r="B80" s="64" t="s">
        <v>996</v>
      </c>
      <c r="C80" s="8"/>
      <c r="D80" s="132" t="s">
        <v>1201</v>
      </c>
      <c r="E80" s="195" t="s">
        <v>1067</v>
      </c>
      <c r="F80" s="132" t="s">
        <v>1202</v>
      </c>
      <c r="G80" s="192" t="s">
        <v>1192</v>
      </c>
      <c r="H80" s="137"/>
      <c r="I80" s="13"/>
      <c r="J80" s="132"/>
      <c r="K80" s="13"/>
      <c r="L80" s="30"/>
    </row>
    <row r="81" spans="2:12" ht="5.15" customHeight="1" x14ac:dyDescent="0.35">
      <c r="B81" s="131"/>
      <c r="C81" s="13"/>
      <c r="D81" s="132" t="s">
        <v>999</v>
      </c>
      <c r="E81" s="13"/>
      <c r="G81" s="13"/>
      <c r="I81" s="13"/>
      <c r="J81" s="132"/>
      <c r="K81" s="13"/>
      <c r="L81" s="30"/>
    </row>
    <row r="82" spans="2:12" x14ac:dyDescent="0.35">
      <c r="B82" s="19" t="s">
        <v>1000</v>
      </c>
      <c r="C82" s="156"/>
      <c r="D82" s="181"/>
      <c r="E82" s="19"/>
      <c r="F82" s="188"/>
      <c r="G82" s="13"/>
      <c r="I82" s="13"/>
      <c r="J82" s="132"/>
      <c r="K82" s="13"/>
      <c r="L82" s="30"/>
    </row>
    <row r="83" spans="2:12" x14ac:dyDescent="0.35">
      <c r="B83" s="131" t="s">
        <v>417</v>
      </c>
      <c r="C83" s="8"/>
      <c r="D83" s="132" t="s">
        <v>1203</v>
      </c>
      <c r="E83" s="212" t="s">
        <v>1002</v>
      </c>
      <c r="F83" s="189"/>
      <c r="G83" s="13"/>
      <c r="I83" s="13"/>
      <c r="J83" s="132"/>
      <c r="K83" s="13"/>
      <c r="L83" s="30"/>
    </row>
    <row r="84" spans="2:12" x14ac:dyDescent="0.35">
      <c r="B84" s="131"/>
      <c r="C84" s="13"/>
      <c r="E84" s="13"/>
      <c r="F84" s="189"/>
      <c r="G84" s="13"/>
      <c r="I84" s="13"/>
      <c r="J84" s="132"/>
      <c r="K84" s="13"/>
      <c r="L84" s="30"/>
    </row>
    <row r="85" spans="2:12" ht="14.5" customHeight="1" x14ac:dyDescent="0.45">
      <c r="B85" s="155" t="s">
        <v>1204</v>
      </c>
      <c r="C85" s="8"/>
      <c r="D85" s="17"/>
      <c r="E85" s="21"/>
      <c r="F85" s="190"/>
      <c r="G85" s="21"/>
      <c r="H85" s="185"/>
      <c r="I85" s="21"/>
      <c r="J85" s="185"/>
      <c r="K85" s="13"/>
      <c r="L85" s="30"/>
    </row>
    <row r="86" spans="2:12" ht="5.15" customHeight="1" x14ac:dyDescent="0.35">
      <c r="B86" s="131"/>
      <c r="C86" s="8"/>
      <c r="E86" s="13"/>
      <c r="F86" s="189"/>
      <c r="G86" s="13"/>
      <c r="I86" s="13"/>
      <c r="J86" s="132"/>
      <c r="K86" s="13"/>
      <c r="L86" s="30"/>
    </row>
    <row r="87" spans="2:12" x14ac:dyDescent="0.35">
      <c r="B87" s="19" t="s">
        <v>1005</v>
      </c>
      <c r="C87" s="156"/>
      <c r="D87" s="181"/>
      <c r="E87" s="18"/>
      <c r="F87" s="188"/>
      <c r="G87" s="13"/>
      <c r="I87" s="13"/>
      <c r="J87" s="132"/>
      <c r="K87" s="13"/>
      <c r="L87" s="30"/>
    </row>
    <row r="88" spans="2:12" x14ac:dyDescent="0.35">
      <c r="B88" s="22" t="s">
        <v>418</v>
      </c>
      <c r="C88" s="8"/>
      <c r="D88" s="132" t="s">
        <v>1205</v>
      </c>
      <c r="E88" s="212" t="s">
        <v>1002</v>
      </c>
      <c r="F88" s="188"/>
      <c r="G88" s="13"/>
      <c r="I88" s="13"/>
      <c r="J88" s="132"/>
      <c r="K88" s="13"/>
      <c r="L88" s="30"/>
    </row>
    <row r="89" spans="2:12" x14ac:dyDescent="0.35">
      <c r="B89" s="22" t="s">
        <v>419</v>
      </c>
      <c r="C89" s="8"/>
      <c r="D89" s="132" t="s">
        <v>1206</v>
      </c>
      <c r="E89" s="212" t="s">
        <v>1002</v>
      </c>
      <c r="F89" s="188"/>
      <c r="G89" s="13"/>
      <c r="I89" s="13"/>
      <c r="J89" s="132"/>
      <c r="K89" s="13"/>
      <c r="L89" s="30"/>
    </row>
    <row r="90" spans="2:12" x14ac:dyDescent="0.35">
      <c r="B90" s="131"/>
      <c r="C90" s="8"/>
      <c r="E90" s="13"/>
      <c r="F90" s="188"/>
      <c r="G90" s="13"/>
      <c r="I90" s="13"/>
      <c r="J90" s="132"/>
      <c r="K90" s="13"/>
      <c r="L90" s="30"/>
    </row>
    <row r="91" spans="2:12" ht="16.399999999999999" customHeight="1" x14ac:dyDescent="0.45">
      <c r="B91" s="155" t="s">
        <v>1207</v>
      </c>
      <c r="C91" s="8"/>
      <c r="D91" s="183"/>
      <c r="E91" s="37"/>
      <c r="F91" s="188"/>
      <c r="G91" s="37"/>
      <c r="H91" s="183"/>
      <c r="I91" s="37"/>
      <c r="J91" s="183"/>
      <c r="K91" s="13"/>
      <c r="L91" s="30"/>
    </row>
    <row r="92" spans="2:12" ht="5.15" customHeight="1" x14ac:dyDescent="0.35">
      <c r="B92" s="131"/>
      <c r="C92" s="8"/>
      <c r="E92" s="13"/>
      <c r="F92" s="188"/>
      <c r="G92" s="13"/>
      <c r="I92" s="13"/>
      <c r="J92" s="132"/>
      <c r="K92" s="13"/>
      <c r="L92" s="30"/>
    </row>
    <row r="93" spans="2:12" x14ac:dyDescent="0.35">
      <c r="B93" s="19" t="s">
        <v>886</v>
      </c>
      <c r="C93" s="156"/>
      <c r="D93" s="181"/>
      <c r="E93" s="19"/>
      <c r="F93" s="188"/>
      <c r="G93" s="13"/>
      <c r="I93" s="13"/>
      <c r="J93" s="132"/>
      <c r="K93" s="13"/>
      <c r="L93" s="30"/>
    </row>
    <row r="94" spans="2:12" x14ac:dyDescent="0.35">
      <c r="B94" s="131" t="s">
        <v>420</v>
      </c>
      <c r="C94" s="8"/>
      <c r="D94" s="132" t="s">
        <v>1208</v>
      </c>
      <c r="E94" s="89" t="s">
        <v>800</v>
      </c>
      <c r="F94" s="188"/>
      <c r="G94" s="13"/>
      <c r="I94" s="13"/>
      <c r="J94" s="132"/>
      <c r="K94" s="13"/>
      <c r="L94" s="30"/>
    </row>
    <row r="95" spans="2:12" x14ac:dyDescent="0.35">
      <c r="B95" s="131"/>
      <c r="C95" s="8"/>
      <c r="E95" s="13"/>
      <c r="F95" s="188"/>
      <c r="G95" s="13"/>
      <c r="I95" s="13"/>
      <c r="J95" s="132"/>
      <c r="K95" s="13"/>
      <c r="L95" s="30"/>
    </row>
    <row r="96" spans="2:12" ht="15.5" x14ac:dyDescent="0.45">
      <c r="B96" s="155" t="s">
        <v>1209</v>
      </c>
      <c r="C96" s="8"/>
      <c r="D96" s="183"/>
      <c r="E96" s="37"/>
      <c r="F96" s="188"/>
      <c r="G96" s="37"/>
      <c r="H96" s="183"/>
      <c r="I96" s="37"/>
      <c r="J96" s="183"/>
      <c r="K96" s="13"/>
      <c r="L96" s="30"/>
    </row>
    <row r="97" spans="2:12" ht="5.15" customHeight="1" x14ac:dyDescent="0.35">
      <c r="B97" s="131"/>
      <c r="C97" s="8"/>
      <c r="E97" s="13"/>
      <c r="F97" s="188"/>
      <c r="G97" s="13"/>
      <c r="I97" s="13"/>
      <c r="J97" s="132"/>
      <c r="K97" s="13"/>
      <c r="L97" s="30"/>
    </row>
    <row r="98" spans="2:12" x14ac:dyDescent="0.35">
      <c r="B98" s="19" t="s">
        <v>1023</v>
      </c>
      <c r="C98" s="156"/>
      <c r="D98" s="181"/>
      <c r="E98" s="19"/>
      <c r="F98" s="188"/>
      <c r="G98" s="13"/>
      <c r="I98" s="13"/>
      <c r="J98" s="132"/>
      <c r="K98" s="13"/>
      <c r="L98" s="30"/>
    </row>
    <row r="99" spans="2:12" x14ac:dyDescent="0.35">
      <c r="B99" s="131" t="s">
        <v>421</v>
      </c>
      <c r="C99" s="8"/>
      <c r="D99" s="132" t="s">
        <v>1210</v>
      </c>
      <c r="E99" s="174" t="s">
        <v>900</v>
      </c>
      <c r="F99" s="188"/>
      <c r="G99" s="13"/>
      <c r="I99" s="13"/>
      <c r="J99" s="132"/>
      <c r="K99" s="13"/>
      <c r="L99" s="30"/>
    </row>
    <row r="100" spans="2:12" x14ac:dyDescent="0.35">
      <c r="B100" s="131"/>
      <c r="C100" s="8"/>
      <c r="E100" s="13"/>
      <c r="G100" s="13"/>
      <c r="I100" s="13"/>
      <c r="J100" s="132"/>
      <c r="K100" s="13"/>
      <c r="L100" s="30"/>
    </row>
    <row r="101" spans="2:12" ht="15.5" x14ac:dyDescent="0.45">
      <c r="B101" s="155" t="s">
        <v>1211</v>
      </c>
      <c r="C101" s="8"/>
      <c r="D101" s="17"/>
      <c r="E101" s="37"/>
      <c r="F101" s="184"/>
      <c r="G101" s="37"/>
      <c r="H101" s="184"/>
      <c r="I101" s="37"/>
      <c r="J101" s="183"/>
      <c r="K101" s="364"/>
      <c r="L101" s="30"/>
    </row>
    <row r="102" spans="2:12" ht="5.15" customHeight="1" x14ac:dyDescent="0.35">
      <c r="B102" s="131"/>
      <c r="C102" s="8"/>
      <c r="E102" s="13"/>
      <c r="G102" s="13"/>
      <c r="I102" s="13"/>
      <c r="J102" s="132"/>
      <c r="K102" s="13"/>
      <c r="L102" s="30"/>
    </row>
    <row r="103" spans="2:12" x14ac:dyDescent="0.35">
      <c r="B103" s="19" t="s">
        <v>1027</v>
      </c>
      <c r="C103" s="156"/>
      <c r="D103" s="181"/>
      <c r="E103" s="19" t="s">
        <v>1212</v>
      </c>
      <c r="F103" s="181"/>
      <c r="G103" s="19" t="s">
        <v>1213</v>
      </c>
      <c r="H103" s="137"/>
      <c r="I103" s="13"/>
      <c r="J103" s="132"/>
      <c r="K103" s="13"/>
      <c r="L103" s="30"/>
    </row>
    <row r="104" spans="2:12" x14ac:dyDescent="0.35">
      <c r="B104" s="131" t="s">
        <v>580</v>
      </c>
      <c r="C104" s="8"/>
      <c r="D104" s="132" t="s">
        <v>1214</v>
      </c>
      <c r="E104" s="161" t="s">
        <v>1029</v>
      </c>
      <c r="F104" s="132" t="s">
        <v>1215</v>
      </c>
      <c r="G104" s="192" t="s">
        <v>1216</v>
      </c>
      <c r="H104" s="137"/>
      <c r="I104" s="13"/>
      <c r="J104" s="132"/>
      <c r="K104" s="13"/>
      <c r="L104" s="30"/>
    </row>
    <row r="105" spans="2:12" x14ac:dyDescent="0.35">
      <c r="B105" s="131" t="s">
        <v>581</v>
      </c>
      <c r="C105" s="8"/>
      <c r="D105" s="132" t="s">
        <v>1217</v>
      </c>
      <c r="E105" s="175" t="s">
        <v>1032</v>
      </c>
      <c r="F105" s="132" t="s">
        <v>1218</v>
      </c>
      <c r="G105" s="192" t="s">
        <v>1216</v>
      </c>
      <c r="H105" s="137"/>
      <c r="I105" s="13"/>
      <c r="J105" s="132"/>
      <c r="K105" s="13"/>
      <c r="L105" s="30"/>
    </row>
    <row r="106" spans="2:12" x14ac:dyDescent="0.35">
      <c r="B106" s="131" t="s">
        <v>582</v>
      </c>
      <c r="C106" s="8"/>
      <c r="D106" s="132" t="s">
        <v>1219</v>
      </c>
      <c r="E106" s="175" t="s">
        <v>1032</v>
      </c>
      <c r="F106" s="132" t="s">
        <v>1220</v>
      </c>
      <c r="G106" s="192" t="s">
        <v>1216</v>
      </c>
      <c r="H106" s="137"/>
      <c r="I106" s="13"/>
      <c r="J106" s="132"/>
      <c r="K106" s="13"/>
      <c r="L106" s="30"/>
    </row>
    <row r="107" spans="2:12" x14ac:dyDescent="0.35">
      <c r="B107" s="131" t="s">
        <v>583</v>
      </c>
      <c r="C107" s="8"/>
      <c r="D107" s="132" t="s">
        <v>1221</v>
      </c>
      <c r="E107" s="175" t="s">
        <v>1032</v>
      </c>
      <c r="F107" s="132" t="s">
        <v>1222</v>
      </c>
      <c r="G107" s="192" t="s">
        <v>1216</v>
      </c>
      <c r="H107" s="137"/>
      <c r="I107" s="13"/>
      <c r="J107" s="132"/>
      <c r="K107" s="13"/>
      <c r="L107" s="30"/>
    </row>
    <row r="108" spans="2:12" x14ac:dyDescent="0.35">
      <c r="C108" s="13"/>
      <c r="E108" s="13"/>
      <c r="G108" s="13"/>
      <c r="I108" s="13"/>
      <c r="J108" s="132"/>
      <c r="K108" s="13"/>
      <c r="L108" s="30"/>
    </row>
    <row r="109" spans="2:12" hidden="1" x14ac:dyDescent="0.35">
      <c r="C109" s="13"/>
      <c r="E109" s="13"/>
      <c r="G109" s="13"/>
      <c r="I109" s="13"/>
      <c r="J109" s="132"/>
      <c r="K109" s="13"/>
      <c r="L109" s="30"/>
    </row>
    <row r="110" spans="2:12" hidden="1" x14ac:dyDescent="0.35">
      <c r="C110" s="13"/>
      <c r="E110" s="13"/>
      <c r="G110" s="13"/>
      <c r="I110" s="13"/>
      <c r="J110" s="132"/>
      <c r="K110" s="13"/>
      <c r="L110" s="30"/>
    </row>
    <row r="113" spans="2:5" hidden="1" x14ac:dyDescent="0.35">
      <c r="B113" s="8" t="s">
        <v>19</v>
      </c>
      <c r="C113" s="8"/>
      <c r="E113" s="179">
        <f>(IFERROR(E48*E49,0)+IFERROR(G48*G49,0)+IFERROR(I48*I49,0)+IFERROR(K48*K49,0))+SUMIF(G9:G18,"&gt;0")</f>
        <v>0</v>
      </c>
    </row>
    <row r="114" spans="2:5" hidden="1" x14ac:dyDescent="0.35">
      <c r="B114" s="8" t="s">
        <v>18</v>
      </c>
      <c r="C114" s="8"/>
      <c r="E114" s="179">
        <f>IFERROR(E113+SUMIF(G104,"No",E104),E113)/(1-SUMIFS(E105:E107,G105:G107,"No"))</f>
        <v>0</v>
      </c>
    </row>
  </sheetData>
  <sheetProtection sheet="1" objects="1" scenarios="1" selectLockedCells="1"/>
  <dataValidations count="8">
    <dataValidation type="list" allowBlank="1" showInputMessage="1" showErrorMessage="1" sqref="G75:G80" xr:uid="{A8A48C34-8041-402B-9C41-9B72A337E888}">
      <formula1>"Tenant, Landlord"</formula1>
    </dataValidation>
    <dataValidation type="list" allowBlank="1" showInputMessage="1" showErrorMessage="1" sqref="G104:G107" xr:uid="{3905219B-5606-4877-8561-16AFA2B395D3}">
      <formula1>"Yes, No"</formula1>
    </dataValidation>
    <dataValidation type="list" allowBlank="1" showInputMessage="1" showErrorMessage="1" sqref="E9:E18" xr:uid="{AB5E0FA5-C082-4D0A-8698-D78DAC2701F3}">
      <formula1>"ground floor, small box, big box, outlot"</formula1>
    </dataValidation>
    <dataValidation type="decimal" operator="greaterThanOrEqual" allowBlank="1" showInputMessage="1" showErrorMessage="1" sqref="E104 E21:E30 E33:E42 E55 G55 I55 K55 E49 G9:G18 G49 K49 E52 G52 I52 K52 E68 E75:E80 I49" xr:uid="{82CC4D4A-33E5-47D8-8D64-7F8C9DA8C2BF}">
      <formula1>0</formula1>
    </dataValidation>
    <dataValidation type="date" operator="greaterThanOrEqual" allowBlank="1" showInputMessage="1" showErrorMessage="1" sqref="I9:I18" xr:uid="{77E42BCF-0182-4346-BE43-DC369AA6CF38}">
      <formula1>36526</formula1>
    </dataValidation>
    <dataValidation type="whole" operator="greaterThanOrEqual" allowBlank="1" showInputMessage="1" showErrorMessage="1" sqref="C21:C30 K62:K63 G33:G42 I21:I30 G48 E48 K48 E51 G51 I51 K51 E54 G54 I54 K54 E62:E63 G62:G63 I62:I63 I48" xr:uid="{93F829CD-1D36-4886-A2BA-E8888D284356}">
      <formula1>0</formula1>
    </dataValidation>
    <dataValidation type="decimal" operator="lessThanOrEqual" allowBlank="1" showInputMessage="1" showErrorMessage="1" sqref="G21:G30 C33:C42 E56 G56 I56 K56 E53 G53 I53 K53 E61 G61 I61 K61 E58:E59 G58:G59 I58:I59 K58:K59 E69 E83 E88:E89 E94 E105:E107" xr:uid="{32F01923-3EFD-4404-8CF5-966E6C8EB087}">
      <formula1>1</formula1>
    </dataValidation>
    <dataValidation type="decimal" allowBlank="1" showInputMessage="1" showErrorMessage="1" sqref="E99" xr:uid="{48E9F36B-C5ED-471F-BF20-43BF34071742}">
      <formula1>0.0001</formula1>
      <formula2>1</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1DA45-4765-4580-8685-69EEC1A3704F}">
  <sheetPr codeName="Sheet7"/>
  <dimension ref="A1:Y114"/>
  <sheetViews>
    <sheetView showGridLines="0" workbookViewId="0">
      <selection activeCell="C9" sqref="C9"/>
    </sheetView>
  </sheetViews>
  <sheetFormatPr defaultColWidth="0" defaultRowHeight="14.5" zeroHeight="1" x14ac:dyDescent="0.35"/>
  <cols>
    <col min="1" max="1" width="2.6328125" style="8" customWidth="1"/>
    <col min="2" max="2" width="4.81640625" style="47" customWidth="1"/>
    <col min="3" max="3" width="38" style="8" customWidth="1"/>
    <col min="4" max="4" width="6.08984375" style="132" customWidth="1"/>
    <col min="5" max="5" width="35.81640625" style="8" customWidth="1"/>
    <col min="6" max="6" width="6.08984375" style="132" customWidth="1"/>
    <col min="7" max="7" width="29.36328125" style="8" customWidth="1"/>
    <col min="8" max="8" width="6.08984375" style="132" customWidth="1"/>
    <col min="9" max="9" width="29.36328125" style="8" customWidth="1"/>
    <col min="10" max="10" width="6.08984375" style="179" customWidth="1"/>
    <col min="11" max="11" width="29.36328125" style="8" customWidth="1"/>
    <col min="12" max="12" width="2.6328125" style="8" customWidth="1"/>
    <col min="13" max="14" width="8.81640625" style="8" hidden="1" customWidth="1"/>
    <col min="15" max="15" width="25.81640625" style="8" hidden="1" customWidth="1"/>
    <col min="16" max="25" width="0" style="8" hidden="1" customWidth="1"/>
    <col min="26" max="16384" width="8.81640625" style="8" hidden="1"/>
  </cols>
  <sheetData>
    <row r="1" spans="2:12" x14ac:dyDescent="0.35">
      <c r="B1" s="132"/>
      <c r="L1" s="10"/>
    </row>
    <row r="2" spans="2:12" ht="17" x14ac:dyDescent="0.5">
      <c r="B2" s="2" t="s">
        <v>1223</v>
      </c>
      <c r="C2" s="2"/>
      <c r="D2" s="306"/>
      <c r="E2" s="2"/>
      <c r="F2" s="186"/>
      <c r="G2" s="2"/>
      <c r="H2" s="186"/>
      <c r="I2" s="2"/>
      <c r="J2" s="306"/>
      <c r="K2" s="2"/>
    </row>
    <row r="3" spans="2:12" ht="5.15" customHeight="1" x14ac:dyDescent="0.35">
      <c r="B3" s="8"/>
    </row>
    <row r="4" spans="2:12" x14ac:dyDescent="0.35">
      <c r="B4" s="13" t="s">
        <v>1224</v>
      </c>
      <c r="E4" s="13"/>
      <c r="G4" s="13"/>
      <c r="I4" s="13"/>
      <c r="J4" s="132"/>
      <c r="K4" s="13"/>
    </row>
    <row r="5" spans="2:12" x14ac:dyDescent="0.35">
      <c r="C5" s="13"/>
      <c r="E5" s="13"/>
      <c r="G5" s="13"/>
      <c r="I5" s="13"/>
      <c r="J5" s="132"/>
      <c r="K5" s="13"/>
    </row>
    <row r="6" spans="2:12" ht="15.5" x14ac:dyDescent="0.45">
      <c r="B6" s="24" t="s">
        <v>1040</v>
      </c>
      <c r="E6" s="13"/>
      <c r="G6" s="13"/>
      <c r="I6" s="13"/>
      <c r="J6" s="132"/>
      <c r="K6" s="13"/>
    </row>
    <row r="7" spans="2:12" ht="5.15" customHeight="1" x14ac:dyDescent="0.35">
      <c r="C7" s="13"/>
      <c r="E7" s="13"/>
      <c r="G7" s="13"/>
      <c r="I7" s="13"/>
      <c r="J7" s="132"/>
      <c r="K7" s="13"/>
    </row>
    <row r="8" spans="2:12" x14ac:dyDescent="0.35">
      <c r="B8" s="181" t="s">
        <v>1041</v>
      </c>
      <c r="C8" s="18" t="s">
        <v>1042</v>
      </c>
      <c r="D8" s="132" t="s">
        <v>1043</v>
      </c>
      <c r="E8" s="19" t="s">
        <v>1044</v>
      </c>
      <c r="F8" s="181" t="s">
        <v>1045</v>
      </c>
      <c r="G8" s="19" t="s">
        <v>1046</v>
      </c>
      <c r="H8" s="181" t="s">
        <v>1047</v>
      </c>
      <c r="I8" s="19" t="s">
        <v>1048</v>
      </c>
      <c r="J8" s="137"/>
      <c r="K8" s="13"/>
    </row>
    <row r="9" spans="2:12" x14ac:dyDescent="0.35">
      <c r="B9" s="132" t="s">
        <v>754</v>
      </c>
      <c r="C9" s="192" t="s">
        <v>1049</v>
      </c>
      <c r="D9" s="132" t="s">
        <v>765</v>
      </c>
      <c r="E9" s="192" t="s">
        <v>1225</v>
      </c>
      <c r="F9" s="132" t="s">
        <v>776</v>
      </c>
      <c r="G9" s="161" t="s">
        <v>1029</v>
      </c>
      <c r="H9" s="132" t="s">
        <v>783</v>
      </c>
      <c r="I9" s="157" t="s">
        <v>820</v>
      </c>
      <c r="J9" s="137"/>
      <c r="K9" s="13"/>
    </row>
    <row r="10" spans="2:12" x14ac:dyDescent="0.35">
      <c r="B10" s="132" t="s">
        <v>756</v>
      </c>
      <c r="C10" s="192" t="s">
        <v>1049</v>
      </c>
      <c r="D10" s="132" t="s">
        <v>766</v>
      </c>
      <c r="E10" s="192" t="s">
        <v>1225</v>
      </c>
      <c r="F10" s="132" t="s">
        <v>777</v>
      </c>
      <c r="G10" s="161" t="s">
        <v>1029</v>
      </c>
      <c r="H10" s="132" t="s">
        <v>785</v>
      </c>
      <c r="I10" s="157" t="s">
        <v>820</v>
      </c>
      <c r="J10" s="137"/>
      <c r="K10" s="13"/>
    </row>
    <row r="11" spans="2:12" x14ac:dyDescent="0.35">
      <c r="B11" s="132" t="s">
        <v>757</v>
      </c>
      <c r="C11" s="192" t="s">
        <v>1049</v>
      </c>
      <c r="D11" s="132" t="s">
        <v>767</v>
      </c>
      <c r="E11" s="192" t="s">
        <v>1225</v>
      </c>
      <c r="F11" s="132" t="s">
        <v>778</v>
      </c>
      <c r="G11" s="161" t="s">
        <v>1029</v>
      </c>
      <c r="H11" s="132" t="s">
        <v>787</v>
      </c>
      <c r="I11" s="157" t="s">
        <v>820</v>
      </c>
      <c r="J11" s="137"/>
      <c r="K11" s="13"/>
    </row>
    <row r="12" spans="2:12" x14ac:dyDescent="0.35">
      <c r="B12" s="132" t="s">
        <v>759</v>
      </c>
      <c r="C12" s="192" t="s">
        <v>1049</v>
      </c>
      <c r="D12" s="132" t="s">
        <v>768</v>
      </c>
      <c r="E12" s="192" t="s">
        <v>1225</v>
      </c>
      <c r="F12" s="132" t="s">
        <v>779</v>
      </c>
      <c r="G12" s="161" t="s">
        <v>1029</v>
      </c>
      <c r="H12" s="132" t="s">
        <v>1051</v>
      </c>
      <c r="I12" s="157" t="s">
        <v>820</v>
      </c>
      <c r="J12" s="137"/>
      <c r="K12" s="13"/>
    </row>
    <row r="13" spans="2:12" x14ac:dyDescent="0.35">
      <c r="B13" s="132" t="s">
        <v>761</v>
      </c>
      <c r="C13" s="192" t="s">
        <v>1049</v>
      </c>
      <c r="D13" s="132" t="s">
        <v>769</v>
      </c>
      <c r="E13" s="192" t="s">
        <v>1225</v>
      </c>
      <c r="F13" s="132" t="s">
        <v>780</v>
      </c>
      <c r="G13" s="161" t="s">
        <v>1029</v>
      </c>
      <c r="H13" s="132" t="s">
        <v>1052</v>
      </c>
      <c r="I13" s="157" t="s">
        <v>820</v>
      </c>
      <c r="J13" s="137"/>
      <c r="K13" s="13"/>
    </row>
    <row r="14" spans="2:12" x14ac:dyDescent="0.35">
      <c r="B14" s="132" t="s">
        <v>763</v>
      </c>
      <c r="C14" s="192" t="s">
        <v>1049</v>
      </c>
      <c r="D14" s="132" t="s">
        <v>770</v>
      </c>
      <c r="E14" s="192" t="s">
        <v>1225</v>
      </c>
      <c r="F14" s="132" t="s">
        <v>781</v>
      </c>
      <c r="G14" s="161" t="s">
        <v>1029</v>
      </c>
      <c r="H14" s="132" t="s">
        <v>1053</v>
      </c>
      <c r="I14" s="157" t="s">
        <v>820</v>
      </c>
      <c r="J14" s="137"/>
      <c r="K14" s="13"/>
    </row>
    <row r="15" spans="2:12" x14ac:dyDescent="0.35">
      <c r="B15" s="132" t="s">
        <v>937</v>
      </c>
      <c r="C15" s="192" t="s">
        <v>1049</v>
      </c>
      <c r="D15" s="132" t="s">
        <v>771</v>
      </c>
      <c r="E15" s="192" t="s">
        <v>1225</v>
      </c>
      <c r="F15" s="132" t="s">
        <v>949</v>
      </c>
      <c r="G15" s="161" t="s">
        <v>1029</v>
      </c>
      <c r="H15" s="132" t="s">
        <v>1054</v>
      </c>
      <c r="I15" s="157" t="s">
        <v>820</v>
      </c>
      <c r="J15" s="137"/>
      <c r="K15" s="13"/>
    </row>
    <row r="16" spans="2:12" x14ac:dyDescent="0.35">
      <c r="B16" s="132" t="s">
        <v>939</v>
      </c>
      <c r="C16" s="192" t="s">
        <v>1049</v>
      </c>
      <c r="D16" s="132" t="s">
        <v>772</v>
      </c>
      <c r="E16" s="192" t="s">
        <v>1225</v>
      </c>
      <c r="F16" s="132" t="s">
        <v>950</v>
      </c>
      <c r="G16" s="161" t="s">
        <v>1029</v>
      </c>
      <c r="H16" s="132" t="s">
        <v>1055</v>
      </c>
      <c r="I16" s="157" t="s">
        <v>820</v>
      </c>
      <c r="J16" s="137"/>
      <c r="K16" s="13"/>
    </row>
    <row r="17" spans="2:11" x14ac:dyDescent="0.35">
      <c r="B17" s="132" t="s">
        <v>941</v>
      </c>
      <c r="C17" s="192" t="s">
        <v>1049</v>
      </c>
      <c r="D17" s="132" t="s">
        <v>773</v>
      </c>
      <c r="E17" s="192" t="s">
        <v>1225</v>
      </c>
      <c r="F17" s="132" t="s">
        <v>951</v>
      </c>
      <c r="G17" s="161" t="s">
        <v>1029</v>
      </c>
      <c r="H17" s="132" t="s">
        <v>1056</v>
      </c>
      <c r="I17" s="157" t="s">
        <v>820</v>
      </c>
      <c r="J17" s="137"/>
      <c r="K17" s="13"/>
    </row>
    <row r="18" spans="2:11" x14ac:dyDescent="0.35">
      <c r="B18" s="132" t="s">
        <v>943</v>
      </c>
      <c r="C18" s="192" t="s">
        <v>1049</v>
      </c>
      <c r="D18" s="132" t="s">
        <v>774</v>
      </c>
      <c r="E18" s="192" t="s">
        <v>1225</v>
      </c>
      <c r="F18" s="132" t="s">
        <v>953</v>
      </c>
      <c r="G18" s="161" t="s">
        <v>1029</v>
      </c>
      <c r="H18" s="132" t="s">
        <v>1057</v>
      </c>
      <c r="I18" s="157" t="s">
        <v>820</v>
      </c>
      <c r="J18" s="137"/>
      <c r="K18" s="13"/>
    </row>
    <row r="19" spans="2:11" ht="5.15" customHeight="1" x14ac:dyDescent="0.35">
      <c r="B19" s="132"/>
      <c r="C19" s="30"/>
      <c r="D19" s="132" t="s">
        <v>999</v>
      </c>
      <c r="E19" s="30"/>
      <c r="F19" s="182"/>
      <c r="G19" s="30"/>
      <c r="H19" s="182"/>
      <c r="I19" s="13"/>
      <c r="J19" s="137"/>
      <c r="K19" s="13"/>
    </row>
    <row r="20" spans="2:11" x14ac:dyDescent="0.35">
      <c r="B20" s="181" t="s">
        <v>1058</v>
      </c>
      <c r="C20" s="18" t="s">
        <v>1059</v>
      </c>
      <c r="D20" s="181" t="s">
        <v>1060</v>
      </c>
      <c r="E20" s="19" t="s">
        <v>1061</v>
      </c>
      <c r="F20" s="181" t="s">
        <v>1062</v>
      </c>
      <c r="G20" s="19" t="s">
        <v>1063</v>
      </c>
      <c r="H20" s="181" t="s">
        <v>1064</v>
      </c>
      <c r="I20" s="19" t="s">
        <v>1065</v>
      </c>
      <c r="J20" s="137"/>
      <c r="K20" s="13"/>
    </row>
    <row r="21" spans="2:11" x14ac:dyDescent="0.35">
      <c r="B21" s="132" t="s">
        <v>791</v>
      </c>
      <c r="C21" s="196" t="s">
        <v>1066</v>
      </c>
      <c r="D21" s="132" t="s">
        <v>963</v>
      </c>
      <c r="E21" s="195" t="s">
        <v>1067</v>
      </c>
      <c r="F21" s="132" t="s">
        <v>973</v>
      </c>
      <c r="G21" s="194" t="s">
        <v>900</v>
      </c>
      <c r="H21" s="132" t="s">
        <v>1006</v>
      </c>
      <c r="I21" s="193" t="s">
        <v>1068</v>
      </c>
      <c r="J21" s="137"/>
      <c r="K21" s="13"/>
    </row>
    <row r="22" spans="2:11" x14ac:dyDescent="0.35">
      <c r="B22" s="132" t="s">
        <v>793</v>
      </c>
      <c r="C22" s="196" t="s">
        <v>1066</v>
      </c>
      <c r="D22" s="132" t="s">
        <v>967</v>
      </c>
      <c r="E22" s="195" t="s">
        <v>1067</v>
      </c>
      <c r="F22" s="132" t="s">
        <v>976</v>
      </c>
      <c r="G22" s="194" t="s">
        <v>900</v>
      </c>
      <c r="H22" s="132" t="s">
        <v>1008</v>
      </c>
      <c r="I22" s="193" t="s">
        <v>1068</v>
      </c>
      <c r="J22" s="137"/>
      <c r="K22" s="13"/>
    </row>
    <row r="23" spans="2:11" x14ac:dyDescent="0.35">
      <c r="B23" s="132" t="s">
        <v>796</v>
      </c>
      <c r="C23" s="196" t="s">
        <v>1066</v>
      </c>
      <c r="D23" s="132" t="s">
        <v>965</v>
      </c>
      <c r="E23" s="195" t="s">
        <v>1067</v>
      </c>
      <c r="F23" s="132" t="s">
        <v>979</v>
      </c>
      <c r="G23" s="194" t="s">
        <v>900</v>
      </c>
      <c r="H23" s="132" t="s">
        <v>1007</v>
      </c>
      <c r="I23" s="193" t="s">
        <v>1068</v>
      </c>
      <c r="J23" s="137"/>
      <c r="K23" s="13"/>
    </row>
    <row r="24" spans="2:11" x14ac:dyDescent="0.35">
      <c r="B24" s="132" t="s">
        <v>799</v>
      </c>
      <c r="C24" s="196" t="s">
        <v>1066</v>
      </c>
      <c r="D24" s="132" t="s">
        <v>968</v>
      </c>
      <c r="E24" s="195" t="s">
        <v>1067</v>
      </c>
      <c r="F24" s="132" t="s">
        <v>982</v>
      </c>
      <c r="G24" s="194" t="s">
        <v>900</v>
      </c>
      <c r="H24" s="132" t="s">
        <v>1009</v>
      </c>
      <c r="I24" s="193" t="s">
        <v>1068</v>
      </c>
      <c r="J24" s="137"/>
      <c r="K24" s="13"/>
    </row>
    <row r="25" spans="2:11" x14ac:dyDescent="0.35">
      <c r="B25" s="132" t="s">
        <v>803</v>
      </c>
      <c r="C25" s="196" t="s">
        <v>1066</v>
      </c>
      <c r="D25" s="132" t="s">
        <v>1069</v>
      </c>
      <c r="E25" s="195" t="s">
        <v>1067</v>
      </c>
      <c r="F25" s="132" t="s">
        <v>985</v>
      </c>
      <c r="G25" s="194" t="s">
        <v>900</v>
      </c>
      <c r="H25" s="132" t="s">
        <v>1070</v>
      </c>
      <c r="I25" s="193" t="s">
        <v>1068</v>
      </c>
      <c r="J25" s="137"/>
      <c r="K25" s="13"/>
    </row>
    <row r="26" spans="2:11" x14ac:dyDescent="0.35">
      <c r="B26" s="132" t="s">
        <v>804</v>
      </c>
      <c r="C26" s="196" t="s">
        <v>1066</v>
      </c>
      <c r="D26" s="132" t="s">
        <v>1071</v>
      </c>
      <c r="E26" s="195" t="s">
        <v>1067</v>
      </c>
      <c r="F26" s="132" t="s">
        <v>988</v>
      </c>
      <c r="G26" s="194" t="s">
        <v>900</v>
      </c>
      <c r="H26" s="132" t="s">
        <v>1072</v>
      </c>
      <c r="I26" s="193" t="s">
        <v>1068</v>
      </c>
      <c r="J26" s="137"/>
      <c r="K26" s="13"/>
    </row>
    <row r="27" spans="2:11" x14ac:dyDescent="0.35">
      <c r="B27" s="132" t="s">
        <v>805</v>
      </c>
      <c r="C27" s="196" t="s">
        <v>1066</v>
      </c>
      <c r="D27" s="132" t="s">
        <v>1073</v>
      </c>
      <c r="E27" s="195" t="s">
        <v>1067</v>
      </c>
      <c r="F27" s="132" t="s">
        <v>991</v>
      </c>
      <c r="G27" s="194" t="s">
        <v>900</v>
      </c>
      <c r="H27" s="132" t="s">
        <v>1074</v>
      </c>
      <c r="I27" s="193" t="s">
        <v>1068</v>
      </c>
      <c r="J27" s="137"/>
      <c r="K27" s="13"/>
    </row>
    <row r="28" spans="2:11" x14ac:dyDescent="0.35">
      <c r="B28" s="132" t="s">
        <v>806</v>
      </c>
      <c r="C28" s="196" t="s">
        <v>1066</v>
      </c>
      <c r="D28" s="132" t="s">
        <v>1075</v>
      </c>
      <c r="E28" s="195" t="s">
        <v>1067</v>
      </c>
      <c r="F28" s="132" t="s">
        <v>994</v>
      </c>
      <c r="G28" s="194" t="s">
        <v>900</v>
      </c>
      <c r="H28" s="132" t="s">
        <v>1076</v>
      </c>
      <c r="I28" s="193" t="s">
        <v>1068</v>
      </c>
      <c r="J28" s="137"/>
      <c r="K28" s="13"/>
    </row>
    <row r="29" spans="2:11" x14ac:dyDescent="0.35">
      <c r="B29" s="132" t="s">
        <v>807</v>
      </c>
      <c r="C29" s="196" t="s">
        <v>1066</v>
      </c>
      <c r="D29" s="132" t="s">
        <v>1077</v>
      </c>
      <c r="E29" s="195" t="s">
        <v>1067</v>
      </c>
      <c r="F29" s="132" t="s">
        <v>997</v>
      </c>
      <c r="G29" s="194" t="s">
        <v>900</v>
      </c>
      <c r="H29" s="132" t="s">
        <v>1078</v>
      </c>
      <c r="I29" s="193" t="s">
        <v>1068</v>
      </c>
      <c r="J29" s="137"/>
      <c r="K29" s="13"/>
    </row>
    <row r="30" spans="2:11" x14ac:dyDescent="0.35">
      <c r="B30" s="132" t="s">
        <v>809</v>
      </c>
      <c r="C30" s="196" t="s">
        <v>1066</v>
      </c>
      <c r="D30" s="132" t="s">
        <v>1079</v>
      </c>
      <c r="E30" s="195" t="s">
        <v>1067</v>
      </c>
      <c r="F30" s="132" t="s">
        <v>974</v>
      </c>
      <c r="G30" s="194" t="s">
        <v>900</v>
      </c>
      <c r="H30" s="132" t="s">
        <v>1080</v>
      </c>
      <c r="I30" s="193" t="s">
        <v>1068</v>
      </c>
      <c r="J30" s="137"/>
      <c r="K30" s="13"/>
    </row>
    <row r="31" spans="2:11" ht="5.15" customHeight="1" x14ac:dyDescent="0.35">
      <c r="B31" s="132"/>
      <c r="C31" s="30"/>
      <c r="D31" s="182"/>
      <c r="E31" s="30"/>
      <c r="F31" s="182"/>
      <c r="G31" s="30"/>
      <c r="H31" s="182"/>
      <c r="I31" s="13"/>
      <c r="J31" s="137"/>
      <c r="K31" s="13"/>
    </row>
    <row r="32" spans="2:11" x14ac:dyDescent="0.35">
      <c r="B32" s="181" t="s">
        <v>1081</v>
      </c>
      <c r="C32" s="18" t="s">
        <v>1082</v>
      </c>
      <c r="D32" s="181" t="s">
        <v>1083</v>
      </c>
      <c r="E32" s="19" t="s">
        <v>728</v>
      </c>
      <c r="F32" s="181" t="s">
        <v>1084</v>
      </c>
      <c r="G32" s="19" t="s">
        <v>735</v>
      </c>
      <c r="H32" s="137"/>
      <c r="I32" s="13"/>
      <c r="J32" s="137"/>
      <c r="K32" s="13"/>
    </row>
    <row r="33" spans="2:11" x14ac:dyDescent="0.35">
      <c r="B33" s="132" t="s">
        <v>1011</v>
      </c>
      <c r="C33" s="197" t="s">
        <v>1085</v>
      </c>
      <c r="D33" s="132" t="s">
        <v>1086</v>
      </c>
      <c r="E33" s="198" t="s">
        <v>1087</v>
      </c>
      <c r="F33" s="132" t="s">
        <v>1088</v>
      </c>
      <c r="G33" s="176" t="s">
        <v>832</v>
      </c>
      <c r="H33" s="137"/>
      <c r="I33" s="13"/>
      <c r="J33" s="137"/>
      <c r="K33" s="13"/>
    </row>
    <row r="34" spans="2:11" x14ac:dyDescent="0.35">
      <c r="B34" s="132" t="s">
        <v>1012</v>
      </c>
      <c r="C34" s="197" t="s">
        <v>1085</v>
      </c>
      <c r="D34" s="132" t="s">
        <v>1089</v>
      </c>
      <c r="E34" s="198" t="s">
        <v>1087</v>
      </c>
      <c r="F34" s="132" t="s">
        <v>1090</v>
      </c>
      <c r="G34" s="176" t="s">
        <v>832</v>
      </c>
      <c r="H34" s="137"/>
      <c r="I34" s="13"/>
      <c r="J34" s="137"/>
      <c r="K34" s="13"/>
    </row>
    <row r="35" spans="2:11" x14ac:dyDescent="0.35">
      <c r="B35" s="132" t="s">
        <v>1091</v>
      </c>
      <c r="C35" s="197" t="s">
        <v>1085</v>
      </c>
      <c r="D35" s="132" t="s">
        <v>1092</v>
      </c>
      <c r="E35" s="198" t="s">
        <v>1087</v>
      </c>
      <c r="F35" s="132" t="s">
        <v>1093</v>
      </c>
      <c r="G35" s="176" t="s">
        <v>832</v>
      </c>
      <c r="H35" s="137"/>
      <c r="I35" s="13"/>
      <c r="J35" s="137"/>
      <c r="K35" s="13"/>
    </row>
    <row r="36" spans="2:11" x14ac:dyDescent="0.35">
      <c r="B36" s="132" t="s">
        <v>1094</v>
      </c>
      <c r="C36" s="197" t="s">
        <v>1085</v>
      </c>
      <c r="D36" s="132" t="s">
        <v>1095</v>
      </c>
      <c r="E36" s="198" t="s">
        <v>1087</v>
      </c>
      <c r="F36" s="132" t="s">
        <v>1096</v>
      </c>
      <c r="G36" s="176" t="s">
        <v>832</v>
      </c>
      <c r="H36" s="137"/>
      <c r="I36" s="13"/>
      <c r="J36" s="137"/>
      <c r="K36" s="13"/>
    </row>
    <row r="37" spans="2:11" x14ac:dyDescent="0.35">
      <c r="B37" s="132" t="s">
        <v>1097</v>
      </c>
      <c r="C37" s="197" t="s">
        <v>1085</v>
      </c>
      <c r="D37" s="132" t="s">
        <v>1098</v>
      </c>
      <c r="E37" s="198" t="s">
        <v>1087</v>
      </c>
      <c r="F37" s="132" t="s">
        <v>1099</v>
      </c>
      <c r="G37" s="176" t="s">
        <v>832</v>
      </c>
      <c r="H37" s="137"/>
      <c r="I37" s="13"/>
      <c r="J37" s="132"/>
      <c r="K37" s="13"/>
    </row>
    <row r="38" spans="2:11" x14ac:dyDescent="0.35">
      <c r="B38" s="132" t="s">
        <v>1100</v>
      </c>
      <c r="C38" s="197" t="s">
        <v>1085</v>
      </c>
      <c r="D38" s="132" t="s">
        <v>1101</v>
      </c>
      <c r="E38" s="198" t="s">
        <v>1087</v>
      </c>
      <c r="F38" s="132" t="s">
        <v>1102</v>
      </c>
      <c r="G38" s="176" t="s">
        <v>832</v>
      </c>
      <c r="H38" s="137"/>
      <c r="I38" s="13"/>
      <c r="J38" s="132"/>
      <c r="K38" s="13"/>
    </row>
    <row r="39" spans="2:11" x14ac:dyDescent="0.35">
      <c r="B39" s="132" t="s">
        <v>1103</v>
      </c>
      <c r="C39" s="197" t="s">
        <v>1085</v>
      </c>
      <c r="D39" s="132" t="s">
        <v>1104</v>
      </c>
      <c r="E39" s="198" t="s">
        <v>1087</v>
      </c>
      <c r="F39" s="132" t="s">
        <v>1105</v>
      </c>
      <c r="G39" s="176" t="s">
        <v>832</v>
      </c>
      <c r="H39" s="137"/>
      <c r="I39" s="13"/>
      <c r="J39" s="132"/>
      <c r="K39" s="13"/>
    </row>
    <row r="40" spans="2:11" s="10" customFormat="1" x14ac:dyDescent="0.35">
      <c r="B40" s="132" t="s">
        <v>1106</v>
      </c>
      <c r="C40" s="197" t="s">
        <v>1085</v>
      </c>
      <c r="D40" s="132" t="s">
        <v>1107</v>
      </c>
      <c r="E40" s="198" t="s">
        <v>1087</v>
      </c>
      <c r="F40" s="132" t="s">
        <v>1108</v>
      </c>
      <c r="G40" s="176" t="s">
        <v>832</v>
      </c>
      <c r="H40" s="137"/>
      <c r="I40" s="13"/>
      <c r="J40" s="132"/>
      <c r="K40" s="30"/>
    </row>
    <row r="41" spans="2:11" s="10" customFormat="1" x14ac:dyDescent="0.35">
      <c r="B41" s="132" t="s">
        <v>1109</v>
      </c>
      <c r="C41" s="197" t="s">
        <v>1085</v>
      </c>
      <c r="D41" s="132" t="s">
        <v>1110</v>
      </c>
      <c r="E41" s="198" t="s">
        <v>1087</v>
      </c>
      <c r="F41" s="132" t="s">
        <v>1111</v>
      </c>
      <c r="G41" s="176" t="s">
        <v>832</v>
      </c>
      <c r="H41" s="137"/>
      <c r="I41" s="13"/>
      <c r="J41" s="132"/>
      <c r="K41" s="30"/>
    </row>
    <row r="42" spans="2:11" s="10" customFormat="1" x14ac:dyDescent="0.35">
      <c r="B42" s="132" t="s">
        <v>1112</v>
      </c>
      <c r="C42" s="197" t="s">
        <v>1085</v>
      </c>
      <c r="D42" s="132" t="s">
        <v>1113</v>
      </c>
      <c r="E42" s="198" t="s">
        <v>1087</v>
      </c>
      <c r="F42" s="132" t="s">
        <v>1114</v>
      </c>
      <c r="G42" s="176" t="s">
        <v>832</v>
      </c>
      <c r="H42" s="137"/>
      <c r="I42" s="13"/>
      <c r="J42" s="132"/>
      <c r="K42" s="30"/>
    </row>
    <row r="43" spans="2:11" s="10" customFormat="1" x14ac:dyDescent="0.35">
      <c r="B43" s="66"/>
      <c r="C43" s="30"/>
      <c r="D43" s="182"/>
      <c r="E43" s="31"/>
      <c r="F43" s="187"/>
      <c r="G43" s="31"/>
      <c r="H43" s="187"/>
      <c r="I43" s="13"/>
      <c r="J43" s="132"/>
      <c r="K43" s="30"/>
    </row>
    <row r="44" spans="2:11" s="10" customFormat="1" ht="15.5" x14ac:dyDescent="0.45">
      <c r="B44" s="24" t="s">
        <v>1115</v>
      </c>
      <c r="D44" s="182"/>
      <c r="E44" s="24"/>
      <c r="F44" s="17"/>
      <c r="G44" s="24"/>
      <c r="H44" s="17"/>
      <c r="I44" s="24"/>
      <c r="J44" s="180"/>
      <c r="K44" s="24"/>
    </row>
    <row r="45" spans="2:11" s="10" customFormat="1" ht="5.15" customHeight="1" x14ac:dyDescent="0.35">
      <c r="B45" s="66"/>
      <c r="C45" s="13"/>
      <c r="D45" s="182"/>
      <c r="E45" s="13"/>
      <c r="F45" s="132"/>
      <c r="G45" s="13"/>
      <c r="H45" s="132"/>
      <c r="I45" s="13"/>
      <c r="J45" s="132"/>
      <c r="K45" s="30"/>
    </row>
    <row r="46" spans="2:11" s="10" customFormat="1" x14ac:dyDescent="0.35">
      <c r="B46" s="18" t="s">
        <v>1116</v>
      </c>
      <c r="C46" s="154"/>
      <c r="D46" s="181" t="s">
        <v>1117</v>
      </c>
      <c r="E46" s="18" t="s">
        <v>1226</v>
      </c>
      <c r="F46" s="181" t="s">
        <v>1119</v>
      </c>
      <c r="G46" s="18" t="s">
        <v>1227</v>
      </c>
      <c r="H46" s="181" t="s">
        <v>1121</v>
      </c>
      <c r="I46" s="18" t="s">
        <v>1228</v>
      </c>
      <c r="J46" s="181" t="s">
        <v>1123</v>
      </c>
      <c r="K46" s="32" t="s">
        <v>1118</v>
      </c>
    </row>
    <row r="47" spans="2:11" s="10" customFormat="1" ht="5.15" customHeight="1" x14ac:dyDescent="0.35">
      <c r="B47" s="30"/>
      <c r="D47" s="182"/>
      <c r="E47" s="13"/>
      <c r="F47" s="182"/>
      <c r="G47" s="13"/>
      <c r="H47" s="182"/>
      <c r="I47" s="13"/>
      <c r="J47" s="182"/>
      <c r="K47" s="30"/>
    </row>
    <row r="48" spans="2:11" s="10" customFormat="1" x14ac:dyDescent="0.35">
      <c r="B48" s="22" t="s">
        <v>722</v>
      </c>
      <c r="D48" s="132" t="s">
        <v>1125</v>
      </c>
      <c r="E48" s="199" t="s">
        <v>1126</v>
      </c>
      <c r="F48" s="132" t="s">
        <v>1127</v>
      </c>
      <c r="G48" s="199" t="s">
        <v>1126</v>
      </c>
      <c r="H48" s="132" t="s">
        <v>1128</v>
      </c>
      <c r="I48" s="199" t="s">
        <v>1126</v>
      </c>
      <c r="J48" s="132" t="s">
        <v>1129</v>
      </c>
      <c r="K48" s="199" t="s">
        <v>1126</v>
      </c>
    </row>
    <row r="49" spans="2:11" s="10" customFormat="1" x14ac:dyDescent="0.35">
      <c r="B49" s="27" t="s">
        <v>723</v>
      </c>
      <c r="D49" s="132" t="s">
        <v>1130</v>
      </c>
      <c r="E49" s="200" t="s">
        <v>1131</v>
      </c>
      <c r="F49" s="132" t="s">
        <v>1132</v>
      </c>
      <c r="G49" s="200" t="s">
        <v>1131</v>
      </c>
      <c r="H49" s="132" t="s">
        <v>1133</v>
      </c>
      <c r="I49" s="200" t="s">
        <v>1131</v>
      </c>
      <c r="J49" s="132" t="s">
        <v>1134</v>
      </c>
      <c r="K49" s="200" t="s">
        <v>1131</v>
      </c>
    </row>
    <row r="50" spans="2:11" s="10" customFormat="1" ht="5.15" customHeight="1" x14ac:dyDescent="0.35">
      <c r="B50" s="13"/>
      <c r="D50" s="132"/>
      <c r="E50" s="30"/>
      <c r="F50" s="182"/>
      <c r="G50" s="30"/>
      <c r="H50" s="132"/>
      <c r="I50" s="30"/>
      <c r="J50" s="132"/>
      <c r="K50" s="30"/>
    </row>
    <row r="51" spans="2:11" s="10" customFormat="1" x14ac:dyDescent="0.35">
      <c r="B51" s="33" t="s">
        <v>724</v>
      </c>
      <c r="D51" s="132" t="s">
        <v>1135</v>
      </c>
      <c r="E51" s="201" t="s">
        <v>1066</v>
      </c>
      <c r="F51" s="132" t="s">
        <v>1136</v>
      </c>
      <c r="G51" s="201" t="s">
        <v>1066</v>
      </c>
      <c r="H51" s="132" t="s">
        <v>1137</v>
      </c>
      <c r="I51" s="201" t="s">
        <v>1066</v>
      </c>
      <c r="J51" s="132" t="s">
        <v>1138</v>
      </c>
      <c r="K51" s="201" t="s">
        <v>1066</v>
      </c>
    </row>
    <row r="52" spans="2:11" s="10" customFormat="1" x14ac:dyDescent="0.35">
      <c r="B52" s="33" t="s">
        <v>725</v>
      </c>
      <c r="D52" s="132" t="s">
        <v>1139</v>
      </c>
      <c r="E52" s="202" t="s">
        <v>1067</v>
      </c>
      <c r="F52" s="132" t="s">
        <v>1140</v>
      </c>
      <c r="G52" s="202" t="s">
        <v>1067</v>
      </c>
      <c r="H52" s="132" t="s">
        <v>1141</v>
      </c>
      <c r="I52" s="202" t="s">
        <v>1067</v>
      </c>
      <c r="J52" s="132" t="s">
        <v>1142</v>
      </c>
      <c r="K52" s="202" t="s">
        <v>1067</v>
      </c>
    </row>
    <row r="53" spans="2:11" s="10" customFormat="1" x14ac:dyDescent="0.35">
      <c r="B53" s="22" t="s">
        <v>726</v>
      </c>
      <c r="D53" s="132" t="s">
        <v>1143</v>
      </c>
      <c r="E53" s="203" t="s">
        <v>800</v>
      </c>
      <c r="F53" s="132" t="s">
        <v>1144</v>
      </c>
      <c r="G53" s="203" t="s">
        <v>800</v>
      </c>
      <c r="H53" s="132" t="s">
        <v>1145</v>
      </c>
      <c r="I53" s="203" t="s">
        <v>800</v>
      </c>
      <c r="J53" s="132" t="s">
        <v>1146</v>
      </c>
      <c r="K53" s="203" t="s">
        <v>800</v>
      </c>
    </row>
    <row r="54" spans="2:11" s="10" customFormat="1" x14ac:dyDescent="0.35">
      <c r="B54" s="22" t="s">
        <v>727</v>
      </c>
      <c r="D54" s="132" t="s">
        <v>1147</v>
      </c>
      <c r="E54" s="204" t="s">
        <v>832</v>
      </c>
      <c r="F54" s="132" t="s">
        <v>1148</v>
      </c>
      <c r="G54" s="204" t="s">
        <v>832</v>
      </c>
      <c r="H54" s="132" t="s">
        <v>1149</v>
      </c>
      <c r="I54" s="204" t="s">
        <v>832</v>
      </c>
      <c r="J54" s="132" t="s">
        <v>1150</v>
      </c>
      <c r="K54" s="204" t="s">
        <v>832</v>
      </c>
    </row>
    <row r="55" spans="2:11" s="10" customFormat="1" x14ac:dyDescent="0.35">
      <c r="B55" s="33" t="s">
        <v>728</v>
      </c>
      <c r="D55" s="132" t="s">
        <v>1151</v>
      </c>
      <c r="E55" s="198" t="s">
        <v>1087</v>
      </c>
      <c r="F55" s="132" t="s">
        <v>1152</v>
      </c>
      <c r="G55" s="198" t="s">
        <v>1087</v>
      </c>
      <c r="H55" s="132" t="s">
        <v>1153</v>
      </c>
      <c r="I55" s="198" t="s">
        <v>1087</v>
      </c>
      <c r="J55" s="132" t="s">
        <v>1154</v>
      </c>
      <c r="K55" s="198" t="s">
        <v>1087</v>
      </c>
    </row>
    <row r="56" spans="2:11" s="10" customFormat="1" x14ac:dyDescent="0.35">
      <c r="B56" s="33" t="s">
        <v>729</v>
      </c>
      <c r="D56" s="132" t="s">
        <v>1155</v>
      </c>
      <c r="E56" s="197" t="s">
        <v>1085</v>
      </c>
      <c r="F56" s="132" t="s">
        <v>1156</v>
      </c>
      <c r="G56" s="197" t="s">
        <v>1085</v>
      </c>
      <c r="H56" s="132" t="s">
        <v>1157</v>
      </c>
      <c r="I56" s="197" t="s">
        <v>1085</v>
      </c>
      <c r="J56" s="132" t="s">
        <v>1158</v>
      </c>
      <c r="K56" s="197" t="s">
        <v>1085</v>
      </c>
    </row>
    <row r="57" spans="2:11" s="10" customFormat="1" ht="5.15" customHeight="1" x14ac:dyDescent="0.35">
      <c r="B57" s="13"/>
      <c r="D57" s="132"/>
      <c r="E57" s="30"/>
      <c r="F57" s="182"/>
      <c r="G57" s="30"/>
      <c r="H57" s="182"/>
      <c r="I57" s="30"/>
      <c r="J57" s="182"/>
      <c r="K57" s="30"/>
    </row>
    <row r="58" spans="2:11" s="10" customFormat="1" x14ac:dyDescent="0.35">
      <c r="B58" s="27" t="s">
        <v>730</v>
      </c>
      <c r="D58" s="132" t="s">
        <v>1159</v>
      </c>
      <c r="E58" s="205" t="s">
        <v>1160</v>
      </c>
      <c r="F58" s="132" t="s">
        <v>1161</v>
      </c>
      <c r="G58" s="205" t="s">
        <v>1160</v>
      </c>
      <c r="H58" s="132" t="s">
        <v>1162</v>
      </c>
      <c r="I58" s="205" t="s">
        <v>1160</v>
      </c>
      <c r="J58" s="132" t="s">
        <v>1163</v>
      </c>
      <c r="K58" s="205" t="s">
        <v>1160</v>
      </c>
    </row>
    <row r="59" spans="2:11" s="10" customFormat="1" x14ac:dyDescent="0.35">
      <c r="B59" s="27" t="s">
        <v>731</v>
      </c>
      <c r="D59" s="132" t="s">
        <v>1164</v>
      </c>
      <c r="E59" s="205" t="s">
        <v>1160</v>
      </c>
      <c r="F59" s="132" t="s">
        <v>1165</v>
      </c>
      <c r="G59" s="205" t="s">
        <v>1160</v>
      </c>
      <c r="H59" s="132" t="s">
        <v>1166</v>
      </c>
      <c r="I59" s="205" t="s">
        <v>1160</v>
      </c>
      <c r="J59" s="132" t="s">
        <v>1167</v>
      </c>
      <c r="K59" s="205" t="s">
        <v>1160</v>
      </c>
    </row>
    <row r="60" spans="2:11" s="10" customFormat="1" ht="5.15" customHeight="1" x14ac:dyDescent="0.35">
      <c r="B60" s="13"/>
      <c r="D60" s="132"/>
      <c r="E60" s="13"/>
      <c r="F60" s="132"/>
      <c r="G60" s="13"/>
      <c r="H60" s="132"/>
      <c r="I60" s="13"/>
      <c r="J60" s="132"/>
      <c r="K60" s="13"/>
    </row>
    <row r="61" spans="2:11" s="10" customFormat="1" x14ac:dyDescent="0.35">
      <c r="B61" s="33" t="s">
        <v>732</v>
      </c>
      <c r="D61" s="132" t="s">
        <v>1168</v>
      </c>
      <c r="E61" s="206" t="s">
        <v>1169</v>
      </c>
      <c r="F61" s="132" t="s">
        <v>1170</v>
      </c>
      <c r="G61" s="206" t="s">
        <v>1169</v>
      </c>
      <c r="H61" s="132" t="s">
        <v>1171</v>
      </c>
      <c r="I61" s="206" t="s">
        <v>1169</v>
      </c>
      <c r="J61" s="132" t="s">
        <v>1172</v>
      </c>
      <c r="K61" s="206" t="s">
        <v>1169</v>
      </c>
    </row>
    <row r="62" spans="2:11" s="10" customFormat="1" x14ac:dyDescent="0.35">
      <c r="B62" s="33" t="s">
        <v>733</v>
      </c>
      <c r="D62" s="132" t="s">
        <v>1173</v>
      </c>
      <c r="E62" s="207" t="s">
        <v>1126</v>
      </c>
      <c r="F62" s="132" t="s">
        <v>1174</v>
      </c>
      <c r="G62" s="207" t="s">
        <v>1126</v>
      </c>
      <c r="H62" s="132" t="s">
        <v>1175</v>
      </c>
      <c r="I62" s="207" t="s">
        <v>1126</v>
      </c>
      <c r="J62" s="132" t="s">
        <v>1176</v>
      </c>
      <c r="K62" s="207" t="s">
        <v>1126</v>
      </c>
    </row>
    <row r="63" spans="2:11" s="10" customFormat="1" x14ac:dyDescent="0.35">
      <c r="B63" s="33" t="s">
        <v>734</v>
      </c>
      <c r="D63" s="132" t="s">
        <v>1177</v>
      </c>
      <c r="E63" s="193" t="s">
        <v>1068</v>
      </c>
      <c r="F63" s="132" t="s">
        <v>1178</v>
      </c>
      <c r="G63" s="193" t="s">
        <v>1068</v>
      </c>
      <c r="H63" s="132" t="s">
        <v>1179</v>
      </c>
      <c r="I63" s="193" t="s">
        <v>1068</v>
      </c>
      <c r="J63" s="132" t="s">
        <v>1180</v>
      </c>
      <c r="K63" s="193" t="s">
        <v>1068</v>
      </c>
    </row>
    <row r="64" spans="2:11" s="10" customFormat="1" x14ac:dyDescent="0.35">
      <c r="B64" s="66"/>
      <c r="C64" s="30"/>
      <c r="D64" s="182"/>
      <c r="E64" s="13"/>
      <c r="F64" s="132"/>
      <c r="G64" s="13"/>
      <c r="H64" s="132"/>
      <c r="I64" s="13"/>
      <c r="J64" s="132"/>
      <c r="K64" s="30"/>
    </row>
    <row r="65" spans="2:11" s="10" customFormat="1" ht="15.5" x14ac:dyDescent="0.45">
      <c r="B65" s="24" t="s">
        <v>1181</v>
      </c>
      <c r="D65" s="182"/>
      <c r="E65" s="24"/>
      <c r="F65" s="17"/>
      <c r="G65" s="24"/>
      <c r="H65" s="17"/>
      <c r="I65" s="24"/>
      <c r="J65" s="180"/>
      <c r="K65" s="24"/>
    </row>
    <row r="66" spans="2:11" s="10" customFormat="1" ht="5.15" customHeight="1" x14ac:dyDescent="0.35">
      <c r="B66" s="30"/>
      <c r="D66" s="182"/>
      <c r="E66" s="13"/>
      <c r="F66" s="132"/>
      <c r="G66" s="13"/>
      <c r="H66" s="132"/>
      <c r="I66" s="13"/>
      <c r="J66" s="132"/>
      <c r="K66" s="30"/>
    </row>
    <row r="67" spans="2:11" s="10" customFormat="1" x14ac:dyDescent="0.35">
      <c r="B67" s="18" t="s">
        <v>1182</v>
      </c>
      <c r="C67" s="154"/>
      <c r="D67" s="191"/>
      <c r="E67" s="19"/>
      <c r="F67" s="137"/>
      <c r="G67" s="13"/>
      <c r="H67" s="132"/>
      <c r="I67" s="13"/>
      <c r="J67" s="132"/>
      <c r="K67" s="30"/>
    </row>
    <row r="68" spans="2:11" s="10" customFormat="1" x14ac:dyDescent="0.35">
      <c r="B68" s="13" t="s">
        <v>401</v>
      </c>
      <c r="D68" s="132" t="s">
        <v>1183</v>
      </c>
      <c r="E68" s="208" t="s">
        <v>1184</v>
      </c>
      <c r="F68" s="137"/>
      <c r="G68" s="13"/>
      <c r="H68" s="132"/>
      <c r="I68" s="13"/>
      <c r="J68" s="132"/>
      <c r="K68" s="30"/>
    </row>
    <row r="69" spans="2:11" s="10" customFormat="1" x14ac:dyDescent="0.35">
      <c r="B69" s="13" t="s">
        <v>402</v>
      </c>
      <c r="D69" s="132" t="s">
        <v>1185</v>
      </c>
      <c r="E69" s="209" t="s">
        <v>800</v>
      </c>
      <c r="F69" s="137"/>
      <c r="G69" s="13"/>
      <c r="H69" s="132"/>
      <c r="I69" s="13"/>
      <c r="J69" s="132"/>
      <c r="K69" s="30"/>
    </row>
    <row r="70" spans="2:11" x14ac:dyDescent="0.35">
      <c r="C70" s="13"/>
      <c r="E70" s="20"/>
      <c r="F70" s="137"/>
      <c r="G70" s="20"/>
      <c r="H70" s="137"/>
      <c r="I70" s="13"/>
      <c r="J70" s="132"/>
      <c r="K70" s="13"/>
    </row>
    <row r="71" spans="2:11" ht="14.5" customHeight="1" x14ac:dyDescent="0.45">
      <c r="B71" s="24" t="s">
        <v>1229</v>
      </c>
      <c r="E71" s="24"/>
      <c r="F71" s="17"/>
      <c r="G71" s="24"/>
      <c r="H71" s="17"/>
      <c r="I71" s="24"/>
      <c r="J71" s="180"/>
      <c r="K71" s="13"/>
    </row>
    <row r="72" spans="2:11" ht="15.65" customHeight="1" x14ac:dyDescent="0.35">
      <c r="B72" s="126" t="s">
        <v>1187</v>
      </c>
      <c r="C72" s="76"/>
      <c r="D72" s="76"/>
      <c r="E72" s="76"/>
      <c r="F72" s="76"/>
      <c r="G72" s="76"/>
      <c r="H72" s="76"/>
      <c r="J72" s="184"/>
      <c r="K72" s="13"/>
    </row>
    <row r="73" spans="2:11" ht="5.15" customHeight="1" x14ac:dyDescent="0.35">
      <c r="C73" s="13"/>
      <c r="E73" s="13"/>
      <c r="G73" s="13"/>
      <c r="I73" s="13"/>
      <c r="J73" s="132"/>
      <c r="K73" s="13"/>
    </row>
    <row r="74" spans="2:11" x14ac:dyDescent="0.35">
      <c r="B74" s="18" t="s">
        <v>971</v>
      </c>
      <c r="C74" s="156"/>
      <c r="D74" s="181"/>
      <c r="E74" s="19" t="s">
        <v>1188</v>
      </c>
      <c r="F74" s="181"/>
      <c r="G74" s="19" t="s">
        <v>1189</v>
      </c>
      <c r="H74" s="137"/>
      <c r="I74" s="13"/>
      <c r="J74" s="132"/>
      <c r="K74" s="13"/>
    </row>
    <row r="75" spans="2:11" x14ac:dyDescent="0.35">
      <c r="B75" s="34" t="s">
        <v>981</v>
      </c>
      <c r="D75" s="132" t="s">
        <v>1190</v>
      </c>
      <c r="E75" s="195" t="s">
        <v>1067</v>
      </c>
      <c r="F75" s="132" t="s">
        <v>1191</v>
      </c>
      <c r="G75" s="192" t="s">
        <v>1192</v>
      </c>
      <c r="H75" s="137"/>
      <c r="I75" s="13"/>
      <c r="J75" s="132"/>
      <c r="K75" s="13"/>
    </row>
    <row r="76" spans="2:11" x14ac:dyDescent="0.35">
      <c r="B76" s="34" t="s">
        <v>984</v>
      </c>
      <c r="D76" s="132" t="s">
        <v>1193</v>
      </c>
      <c r="E76" s="195" t="s">
        <v>1067</v>
      </c>
      <c r="F76" s="132" t="s">
        <v>1194</v>
      </c>
      <c r="G76" s="192" t="s">
        <v>1192</v>
      </c>
      <c r="H76" s="137"/>
      <c r="I76" s="13"/>
      <c r="J76" s="132"/>
      <c r="K76" s="13"/>
    </row>
    <row r="77" spans="2:11" x14ac:dyDescent="0.35">
      <c r="B77" s="34" t="s">
        <v>987</v>
      </c>
      <c r="D77" s="132" t="s">
        <v>1195</v>
      </c>
      <c r="E77" s="195" t="s">
        <v>1067</v>
      </c>
      <c r="F77" s="132" t="s">
        <v>1196</v>
      </c>
      <c r="G77" s="192" t="s">
        <v>1192</v>
      </c>
      <c r="H77" s="137"/>
      <c r="I77" s="13"/>
      <c r="J77" s="132"/>
      <c r="K77" s="13"/>
    </row>
    <row r="78" spans="2:11" x14ac:dyDescent="0.35">
      <c r="B78" s="34" t="s">
        <v>990</v>
      </c>
      <c r="D78" s="132" t="s">
        <v>1197</v>
      </c>
      <c r="E78" s="195" t="s">
        <v>1067</v>
      </c>
      <c r="F78" s="132" t="s">
        <v>1198</v>
      </c>
      <c r="G78" s="192" t="s">
        <v>1192</v>
      </c>
      <c r="H78" s="137"/>
      <c r="I78" s="13"/>
      <c r="J78" s="132"/>
      <c r="K78" s="13"/>
    </row>
    <row r="79" spans="2:11" x14ac:dyDescent="0.35">
      <c r="B79" s="35" t="s">
        <v>993</v>
      </c>
      <c r="C79" s="156"/>
      <c r="D79" s="181" t="s">
        <v>1199</v>
      </c>
      <c r="E79" s="210" t="s">
        <v>1067</v>
      </c>
      <c r="F79" s="181" t="s">
        <v>1200</v>
      </c>
      <c r="G79" s="211" t="s">
        <v>1192</v>
      </c>
      <c r="H79" s="137"/>
      <c r="I79" s="13"/>
      <c r="J79" s="132"/>
      <c r="K79" s="13"/>
    </row>
    <row r="80" spans="2:11" x14ac:dyDescent="0.35">
      <c r="B80" s="20" t="s">
        <v>996</v>
      </c>
      <c r="D80" s="132" t="s">
        <v>1201</v>
      </c>
      <c r="E80" s="195" t="s">
        <v>1067</v>
      </c>
      <c r="F80" s="132" t="s">
        <v>1202</v>
      </c>
      <c r="G80" s="192" t="s">
        <v>1192</v>
      </c>
      <c r="H80" s="137"/>
      <c r="I80" s="13"/>
      <c r="J80" s="132"/>
      <c r="K80" s="13"/>
    </row>
    <row r="81" spans="2:11" ht="5.15" customHeight="1" x14ac:dyDescent="0.35">
      <c r="B81" s="13"/>
      <c r="E81" s="13"/>
      <c r="G81" s="13"/>
      <c r="H81" s="137"/>
      <c r="I81" s="13"/>
      <c r="J81" s="132"/>
      <c r="K81" s="13"/>
    </row>
    <row r="82" spans="2:11" x14ac:dyDescent="0.35">
      <c r="B82" s="18" t="s">
        <v>1000</v>
      </c>
      <c r="C82" s="156"/>
      <c r="D82" s="181"/>
      <c r="E82" s="19"/>
      <c r="F82" s="137"/>
      <c r="G82" s="13"/>
      <c r="I82" s="13"/>
      <c r="J82" s="132"/>
      <c r="K82" s="13"/>
    </row>
    <row r="83" spans="2:11" x14ac:dyDescent="0.35">
      <c r="B83" s="13" t="s">
        <v>417</v>
      </c>
      <c r="D83" s="132" t="s">
        <v>1203</v>
      </c>
      <c r="E83" s="212" t="s">
        <v>1002</v>
      </c>
      <c r="F83" s="137"/>
      <c r="G83" s="13"/>
      <c r="I83" s="13"/>
      <c r="J83" s="132"/>
      <c r="K83" s="13"/>
    </row>
    <row r="84" spans="2:11" x14ac:dyDescent="0.35">
      <c r="B84" s="13"/>
      <c r="E84" s="13"/>
      <c r="F84" s="137"/>
      <c r="G84" s="13"/>
      <c r="I84" s="13"/>
      <c r="J84" s="132"/>
      <c r="K84" s="13"/>
    </row>
    <row r="85" spans="2:11" ht="14.5" customHeight="1" x14ac:dyDescent="0.45">
      <c r="B85" s="24" t="s">
        <v>1204</v>
      </c>
      <c r="D85" s="17"/>
      <c r="E85" s="21"/>
      <c r="F85" s="137"/>
      <c r="G85" s="21"/>
      <c r="H85" s="185"/>
      <c r="I85" s="21"/>
      <c r="J85" s="185"/>
      <c r="K85" s="13"/>
    </row>
    <row r="86" spans="2:11" ht="5.15" customHeight="1" x14ac:dyDescent="0.35">
      <c r="B86" s="13"/>
      <c r="E86" s="13"/>
      <c r="F86" s="137"/>
      <c r="G86" s="13"/>
      <c r="I86" s="13"/>
      <c r="J86" s="132"/>
      <c r="K86" s="13"/>
    </row>
    <row r="87" spans="2:11" x14ac:dyDescent="0.35">
      <c r="B87" s="18" t="s">
        <v>1005</v>
      </c>
      <c r="C87" s="156"/>
      <c r="D87" s="181"/>
      <c r="E87" s="18"/>
      <c r="F87" s="137"/>
      <c r="G87" s="13"/>
      <c r="I87" s="13"/>
      <c r="J87" s="132"/>
      <c r="K87" s="13"/>
    </row>
    <row r="88" spans="2:11" x14ac:dyDescent="0.35">
      <c r="B88" s="22" t="s">
        <v>418</v>
      </c>
      <c r="D88" s="132" t="s">
        <v>1205</v>
      </c>
      <c r="E88" s="212" t="s">
        <v>1002</v>
      </c>
      <c r="F88" s="137"/>
      <c r="G88" s="13"/>
      <c r="I88" s="13"/>
      <c r="J88" s="132"/>
      <c r="K88" s="13"/>
    </row>
    <row r="89" spans="2:11" x14ac:dyDescent="0.35">
      <c r="B89" s="22" t="s">
        <v>419</v>
      </c>
      <c r="D89" s="132" t="s">
        <v>1206</v>
      </c>
      <c r="E89" s="212" t="s">
        <v>1002</v>
      </c>
      <c r="F89" s="137"/>
      <c r="G89" s="13"/>
      <c r="I89" s="13"/>
      <c r="J89" s="132"/>
      <c r="K89" s="13"/>
    </row>
    <row r="90" spans="2:11" x14ac:dyDescent="0.35">
      <c r="C90" s="13"/>
      <c r="E90" s="13"/>
      <c r="F90" s="137"/>
      <c r="G90" s="13"/>
      <c r="I90" s="13"/>
      <c r="J90" s="132"/>
      <c r="K90" s="13"/>
    </row>
    <row r="91" spans="2:11" ht="15.5" x14ac:dyDescent="0.45">
      <c r="B91" s="24" t="s">
        <v>1207</v>
      </c>
      <c r="E91" s="13"/>
      <c r="F91" s="137"/>
      <c r="G91" s="13"/>
      <c r="I91" s="13"/>
      <c r="J91" s="132"/>
      <c r="K91" s="13"/>
    </row>
    <row r="92" spans="2:11" ht="5.15" customHeight="1" x14ac:dyDescent="0.35">
      <c r="B92" s="13"/>
      <c r="E92" s="13"/>
      <c r="F92" s="137"/>
      <c r="G92" s="13"/>
      <c r="I92" s="13"/>
      <c r="J92" s="132"/>
      <c r="K92" s="13"/>
    </row>
    <row r="93" spans="2:11" x14ac:dyDescent="0.35">
      <c r="B93" s="18" t="s">
        <v>886</v>
      </c>
      <c r="C93" s="18"/>
      <c r="D93" s="181"/>
      <c r="E93" s="19"/>
      <c r="F93" s="137"/>
      <c r="G93" s="13"/>
      <c r="I93" s="13"/>
      <c r="J93" s="132"/>
      <c r="K93" s="13"/>
    </row>
    <row r="94" spans="2:11" x14ac:dyDescent="0.35">
      <c r="B94" s="13" t="s">
        <v>420</v>
      </c>
      <c r="D94" s="132" t="s">
        <v>1208</v>
      </c>
      <c r="E94" s="89" t="s">
        <v>800</v>
      </c>
      <c r="F94" s="188"/>
      <c r="G94" s="13"/>
      <c r="I94" s="13"/>
      <c r="J94" s="132"/>
      <c r="K94" s="13"/>
    </row>
    <row r="95" spans="2:11" x14ac:dyDescent="0.35">
      <c r="C95" s="13"/>
      <c r="E95" s="13"/>
      <c r="F95" s="188"/>
      <c r="G95" s="13"/>
      <c r="I95" s="13"/>
      <c r="J95" s="132"/>
      <c r="K95" s="13"/>
    </row>
    <row r="96" spans="2:11" ht="15.5" x14ac:dyDescent="0.45">
      <c r="B96" s="24" t="s">
        <v>1209</v>
      </c>
      <c r="D96" s="183"/>
      <c r="E96" s="37"/>
      <c r="F96" s="188"/>
      <c r="G96" s="37"/>
      <c r="I96" s="13"/>
      <c r="J96" s="132"/>
      <c r="K96" s="13"/>
    </row>
    <row r="97" spans="2:11" ht="5.15" customHeight="1" x14ac:dyDescent="0.35">
      <c r="B97" s="13"/>
      <c r="E97" s="13"/>
      <c r="F97" s="188"/>
      <c r="G97" s="13"/>
      <c r="I97" s="13"/>
      <c r="J97" s="132"/>
      <c r="K97" s="13"/>
    </row>
    <row r="98" spans="2:11" x14ac:dyDescent="0.35">
      <c r="B98" s="18" t="s">
        <v>1023</v>
      </c>
      <c r="C98" s="18"/>
      <c r="D98" s="181"/>
      <c r="E98" s="19"/>
      <c r="F98" s="188"/>
      <c r="G98" s="13"/>
      <c r="I98" s="13"/>
      <c r="J98" s="132"/>
      <c r="K98" s="13"/>
    </row>
    <row r="99" spans="2:11" x14ac:dyDescent="0.35">
      <c r="B99" s="13" t="s">
        <v>421</v>
      </c>
      <c r="D99" s="132" t="s">
        <v>1210</v>
      </c>
      <c r="E99" s="174" t="s">
        <v>900</v>
      </c>
      <c r="F99" s="188"/>
      <c r="G99" s="13"/>
      <c r="I99" s="13"/>
      <c r="J99" s="132"/>
      <c r="K99" s="13"/>
    </row>
    <row r="100" spans="2:11" x14ac:dyDescent="0.35">
      <c r="C100" s="13"/>
      <c r="E100" s="13"/>
      <c r="G100" s="13"/>
      <c r="I100" s="13"/>
      <c r="J100" s="132"/>
      <c r="K100" s="13"/>
    </row>
    <row r="101" spans="2:11" ht="14.5" customHeight="1" x14ac:dyDescent="0.45">
      <c r="B101" s="24" t="s">
        <v>1211</v>
      </c>
      <c r="D101" s="17"/>
      <c r="E101" s="37"/>
      <c r="F101" s="184"/>
      <c r="G101" s="37"/>
      <c r="H101" s="17"/>
      <c r="I101" s="24"/>
      <c r="J101" s="180"/>
      <c r="K101" s="24"/>
    </row>
    <row r="102" spans="2:11" ht="5.15" customHeight="1" x14ac:dyDescent="0.35">
      <c r="B102" s="13"/>
      <c r="E102" s="13"/>
      <c r="G102" s="13"/>
      <c r="I102" s="13"/>
      <c r="J102" s="132"/>
      <c r="K102" s="13"/>
    </row>
    <row r="103" spans="2:11" x14ac:dyDescent="0.35">
      <c r="B103" s="18" t="s">
        <v>1027</v>
      </c>
      <c r="C103" s="18"/>
      <c r="D103" s="181"/>
      <c r="E103" s="19" t="s">
        <v>1212</v>
      </c>
      <c r="F103" s="181"/>
      <c r="G103" s="19" t="s">
        <v>1213</v>
      </c>
      <c r="H103" s="137"/>
      <c r="I103" s="13"/>
      <c r="J103" s="132"/>
      <c r="K103" s="13"/>
    </row>
    <row r="104" spans="2:11" x14ac:dyDescent="0.35">
      <c r="B104" s="13" t="s">
        <v>580</v>
      </c>
      <c r="D104" s="132" t="s">
        <v>1214</v>
      </c>
      <c r="E104" s="161" t="s">
        <v>1029</v>
      </c>
      <c r="F104" s="132" t="s">
        <v>1215</v>
      </c>
      <c r="G104" s="192" t="s">
        <v>1216</v>
      </c>
      <c r="H104" s="137"/>
      <c r="I104" s="13"/>
      <c r="J104" s="132"/>
      <c r="K104" s="13"/>
    </row>
    <row r="105" spans="2:11" x14ac:dyDescent="0.35">
      <c r="B105" s="13" t="s">
        <v>581</v>
      </c>
      <c r="D105" s="132" t="s">
        <v>1217</v>
      </c>
      <c r="E105" s="175" t="s">
        <v>1032</v>
      </c>
      <c r="F105" s="132" t="s">
        <v>1218</v>
      </c>
      <c r="G105" s="192" t="s">
        <v>1216</v>
      </c>
      <c r="H105" s="137"/>
      <c r="I105" s="13"/>
      <c r="J105" s="132"/>
      <c r="K105" s="13"/>
    </row>
    <row r="106" spans="2:11" x14ac:dyDescent="0.35">
      <c r="B106" s="13" t="s">
        <v>582</v>
      </c>
      <c r="D106" s="132" t="s">
        <v>1219</v>
      </c>
      <c r="E106" s="175" t="s">
        <v>1032</v>
      </c>
      <c r="F106" s="132" t="s">
        <v>1220</v>
      </c>
      <c r="G106" s="192" t="s">
        <v>1216</v>
      </c>
      <c r="H106" s="137"/>
      <c r="I106" s="13"/>
      <c r="J106" s="132"/>
      <c r="K106" s="13"/>
    </row>
    <row r="107" spans="2:11" x14ac:dyDescent="0.35">
      <c r="B107" s="13" t="s">
        <v>583</v>
      </c>
      <c r="D107" s="132" t="s">
        <v>1221</v>
      </c>
      <c r="E107" s="175" t="s">
        <v>1032</v>
      </c>
      <c r="F107" s="132" t="s">
        <v>1222</v>
      </c>
      <c r="G107" s="192" t="s">
        <v>1216</v>
      </c>
      <c r="H107" s="137"/>
      <c r="I107" s="13"/>
      <c r="J107" s="132"/>
      <c r="K107" s="13"/>
    </row>
    <row r="108" spans="2:11" x14ac:dyDescent="0.35">
      <c r="H108" s="137"/>
    </row>
    <row r="109" spans="2:11" hidden="1" x14ac:dyDescent="0.35">
      <c r="H109" s="137"/>
    </row>
    <row r="113" spans="2:5" hidden="1" x14ac:dyDescent="0.35">
      <c r="B113" s="8" t="s">
        <v>19</v>
      </c>
      <c r="E113" s="179">
        <f>(IFERROR(E48*E49,0)+IFERROR(G48*G49,0)+IFERROR(I48*I49,0)+IFERROR(K48*K49,0))+SUMIF(G9:G18,"&gt;0")</f>
        <v>0</v>
      </c>
    </row>
    <row r="114" spans="2:5" hidden="1" x14ac:dyDescent="0.35">
      <c r="B114" s="8" t="s">
        <v>18</v>
      </c>
      <c r="E114" s="179">
        <f>IFERROR(E113+SUMIF(G104,"No",E104),E113)/(1-SUMIFS(E105:E107,G105:G107,"No"))</f>
        <v>0</v>
      </c>
    </row>
  </sheetData>
  <sheetProtection sheet="1" objects="1" scenarios="1" selectLockedCells="1"/>
  <dataValidations count="8">
    <dataValidation type="list" allowBlank="1" showInputMessage="1" showErrorMessage="1" sqref="E9:E18" xr:uid="{DB4AC2DF-450E-47E1-87AF-F4484244C6E8}">
      <formula1>"anchor, non-anchor, medical, ground floor"</formula1>
    </dataValidation>
    <dataValidation type="list" allowBlank="1" showInputMessage="1" showErrorMessage="1" sqref="G75:G80" xr:uid="{4B850B7B-C746-47E5-BEA1-06E43A0FD785}">
      <formula1>"Tenant, Landlord"</formula1>
    </dataValidation>
    <dataValidation type="list" allowBlank="1" showInputMessage="1" showErrorMessage="1" sqref="G104:G107" xr:uid="{2210B245-2E64-4A6A-9DD3-647DE8407012}">
      <formula1>"Yes, No"</formula1>
    </dataValidation>
    <dataValidation type="decimal" operator="lessThanOrEqual" allowBlank="1" showInputMessage="1" showErrorMessage="1" sqref="C33:C42 G21:G30 E56 G56 I56 K56 E53 G53 I53 K53 E61 G61 I61 K61 E58:E59 G58:G59 I58:I59 K58:K59 E69 E83 E88:E89 E94 E105:E107" xr:uid="{07F31A53-20C5-4AAC-B29E-AE9382F6BB93}">
      <formula1>1</formula1>
    </dataValidation>
    <dataValidation type="whole" operator="greaterThanOrEqual" allowBlank="1" showInputMessage="1" showErrorMessage="1" sqref="C21:C30 G33:G42 I21:I30 K62:K63 E48 G48 I48 K48 E51 G51 I51 K51 E54 G54 I54 K54 E62:E63 G62:G63 I62:I63" xr:uid="{92154FFE-95E0-441F-B5BD-8BAF003F5BFA}">
      <formula1>0</formula1>
    </dataValidation>
    <dataValidation type="date" operator="greaterThanOrEqual" allowBlank="1" showInputMessage="1" showErrorMessage="1" sqref="I9:I18" xr:uid="{3FA6D416-25D2-40A5-B51C-3AD8BD07EF4D}">
      <formula1>36526</formula1>
    </dataValidation>
    <dataValidation type="decimal" operator="greaterThanOrEqual" allowBlank="1" showInputMessage="1" showErrorMessage="1" sqref="G9:G18 E21:E30 E33:E42 E55 G55 I55 K55 I49 E49 G49 K49 E52 G52 I52 K52 E68 E75:E80 E104" xr:uid="{9CB48816-45FE-4D48-A5A0-07ADF629943B}">
      <formula1>0</formula1>
    </dataValidation>
    <dataValidation type="decimal" allowBlank="1" showInputMessage="1" showErrorMessage="1" sqref="E99" xr:uid="{FA340D52-03FE-4020-B0FB-3F032C1FA1BE}">
      <formula1>0.0001</formula1>
      <formula2>1</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21F9-A501-4721-AFDF-E8B8ADEA2BA4}">
  <sheetPr codeName="Sheet8"/>
  <dimension ref="A1:O117"/>
  <sheetViews>
    <sheetView showGridLines="0" topLeftCell="A4" zoomScaleNormal="100" workbookViewId="0">
      <selection activeCell="D9" sqref="D9"/>
    </sheetView>
  </sheetViews>
  <sheetFormatPr defaultColWidth="0" defaultRowHeight="14.5" zeroHeight="1" x14ac:dyDescent="0.35"/>
  <cols>
    <col min="1" max="1" width="2.6328125" style="4" customWidth="1"/>
    <col min="2" max="2" width="45.81640625" style="4" customWidth="1"/>
    <col min="3" max="3" width="5.36328125" style="54" customWidth="1"/>
    <col min="4" max="4" width="29.81640625" style="4" customWidth="1"/>
    <col min="5" max="5" width="23.81640625" style="4" customWidth="1"/>
    <col min="6" max="6" width="2.6328125" style="4" customWidth="1"/>
    <col min="7" max="12" width="8.81640625" style="4" hidden="1" customWidth="1"/>
    <col min="13" max="15" width="0" style="4" hidden="1" customWidth="1"/>
    <col min="16" max="16384" width="8.81640625" style="4" hidden="1"/>
  </cols>
  <sheetData>
    <row r="1" spans="2:6" x14ac:dyDescent="0.35">
      <c r="B1" s="8"/>
      <c r="D1" s="8"/>
      <c r="E1" s="8"/>
      <c r="F1" s="8"/>
    </row>
    <row r="2" spans="2:6" ht="17" x14ac:dyDescent="0.5">
      <c r="B2" s="2" t="s">
        <v>1230</v>
      </c>
      <c r="C2" s="53"/>
      <c r="D2" s="2"/>
      <c r="E2" s="2"/>
      <c r="F2" s="8"/>
    </row>
    <row r="3" spans="2:6" ht="5.15" customHeight="1" x14ac:dyDescent="0.35">
      <c r="B3" s="8"/>
      <c r="D3" s="8"/>
      <c r="E3" s="8"/>
      <c r="F3" s="8"/>
    </row>
    <row r="4" spans="2:6" x14ac:dyDescent="0.35">
      <c r="B4" s="13" t="s">
        <v>1231</v>
      </c>
      <c r="C4" s="55"/>
      <c r="D4" s="13"/>
      <c r="E4" s="13"/>
      <c r="F4" s="13"/>
    </row>
    <row r="5" spans="2:6" x14ac:dyDescent="0.35">
      <c r="B5" s="13"/>
      <c r="C5" s="55"/>
      <c r="D5" s="13"/>
      <c r="E5" s="13"/>
      <c r="F5" s="13"/>
    </row>
    <row r="6" spans="2:6" ht="15.5" x14ac:dyDescent="0.45">
      <c r="B6" s="24" t="s">
        <v>1232</v>
      </c>
      <c r="C6" s="56"/>
      <c r="D6" s="24"/>
      <c r="E6" s="24"/>
      <c r="F6" s="13"/>
    </row>
    <row r="7" spans="2:6" ht="5.15" customHeight="1" x14ac:dyDescent="0.35">
      <c r="B7" s="13"/>
      <c r="C7" s="55"/>
      <c r="D7" s="13"/>
      <c r="E7" s="13"/>
      <c r="F7" s="13"/>
    </row>
    <row r="8" spans="2:6" x14ac:dyDescent="0.35">
      <c r="B8" s="18" t="s">
        <v>1233</v>
      </c>
      <c r="C8" s="57"/>
      <c r="D8" s="19"/>
      <c r="E8" s="13"/>
      <c r="F8" s="13"/>
    </row>
    <row r="9" spans="2:6" x14ac:dyDescent="0.35">
      <c r="B9" s="20" t="s">
        <v>1234</v>
      </c>
      <c r="C9" s="58" t="s">
        <v>754</v>
      </c>
      <c r="D9" s="214" t="s">
        <v>1235</v>
      </c>
      <c r="E9" s="13"/>
      <c r="F9" s="13"/>
    </row>
    <row r="10" spans="2:6" x14ac:dyDescent="0.35">
      <c r="B10" s="20" t="s">
        <v>1236</v>
      </c>
      <c r="C10" s="58" t="s">
        <v>756</v>
      </c>
      <c r="D10" s="214" t="s">
        <v>1235</v>
      </c>
      <c r="E10" s="13"/>
      <c r="F10" s="13"/>
    </row>
    <row r="11" spans="2:6" x14ac:dyDescent="0.35">
      <c r="B11" s="18" t="s">
        <v>1237</v>
      </c>
      <c r="C11" s="57" t="s">
        <v>757</v>
      </c>
      <c r="D11" s="215" t="s">
        <v>1235</v>
      </c>
      <c r="E11" s="13"/>
      <c r="F11" s="13"/>
    </row>
    <row r="12" spans="2:6" x14ac:dyDescent="0.35">
      <c r="B12" s="13" t="s">
        <v>545</v>
      </c>
      <c r="C12" s="55" t="s">
        <v>759</v>
      </c>
      <c r="D12" s="216" t="s">
        <v>1235</v>
      </c>
      <c r="E12" s="13"/>
      <c r="F12" s="13"/>
    </row>
    <row r="13" spans="2:6" x14ac:dyDescent="0.35">
      <c r="B13" s="13"/>
      <c r="C13" s="55"/>
      <c r="D13" s="13"/>
      <c r="E13" s="13"/>
      <c r="F13" s="13"/>
    </row>
    <row r="14" spans="2:6" ht="15.5" x14ac:dyDescent="0.45">
      <c r="B14" s="24" t="s">
        <v>1238</v>
      </c>
      <c r="C14" s="56"/>
      <c r="D14" s="13"/>
      <c r="E14" s="13"/>
      <c r="F14" s="13"/>
    </row>
    <row r="15" spans="2:6" ht="5.15" customHeight="1" x14ac:dyDescent="0.35">
      <c r="B15" s="13"/>
      <c r="C15" s="55"/>
      <c r="D15" s="13"/>
      <c r="E15" s="13"/>
      <c r="F15" s="13"/>
    </row>
    <row r="16" spans="2:6" x14ac:dyDescent="0.35">
      <c r="B16" s="18" t="s">
        <v>1233</v>
      </c>
      <c r="C16" s="57"/>
      <c r="D16" s="19"/>
      <c r="E16" s="13"/>
      <c r="F16" s="13"/>
    </row>
    <row r="17" spans="2:6" x14ac:dyDescent="0.35">
      <c r="B17" s="20" t="s">
        <v>1234</v>
      </c>
      <c r="C17" s="58" t="s">
        <v>765</v>
      </c>
      <c r="D17" s="217" t="s">
        <v>1239</v>
      </c>
      <c r="E17" s="13"/>
      <c r="F17" s="13"/>
    </row>
    <row r="18" spans="2:6" x14ac:dyDescent="0.35">
      <c r="B18" s="20" t="s">
        <v>1236</v>
      </c>
      <c r="C18" s="58" t="s">
        <v>766</v>
      </c>
      <c r="D18" s="217" t="s">
        <v>1239</v>
      </c>
      <c r="E18" s="13"/>
      <c r="F18" s="13"/>
    </row>
    <row r="19" spans="2:6" x14ac:dyDescent="0.35">
      <c r="B19" s="18" t="s">
        <v>1237</v>
      </c>
      <c r="C19" s="57" t="s">
        <v>767</v>
      </c>
      <c r="D19" s="218" t="s">
        <v>1239</v>
      </c>
      <c r="E19" s="13"/>
      <c r="F19" s="13"/>
    </row>
    <row r="20" spans="2:6" x14ac:dyDescent="0.35">
      <c r="B20" s="13" t="s">
        <v>1240</v>
      </c>
      <c r="C20" s="55" t="s">
        <v>768</v>
      </c>
      <c r="D20" s="219" t="s">
        <v>1239</v>
      </c>
      <c r="E20" s="13"/>
      <c r="F20" s="13"/>
    </row>
    <row r="21" spans="2:6" x14ac:dyDescent="0.35">
      <c r="B21" s="13"/>
      <c r="C21" s="55"/>
      <c r="D21" s="13"/>
      <c r="E21" s="13"/>
      <c r="F21" s="13"/>
    </row>
    <row r="22" spans="2:6" ht="15.5" x14ac:dyDescent="0.45">
      <c r="B22" s="24" t="s">
        <v>1241</v>
      </c>
      <c r="C22" s="56"/>
      <c r="D22" s="13"/>
      <c r="E22" s="13"/>
      <c r="F22" s="13"/>
    </row>
    <row r="23" spans="2:6" ht="5.15" customHeight="1" x14ac:dyDescent="0.35">
      <c r="B23" s="13"/>
      <c r="C23" s="55"/>
      <c r="D23" s="13"/>
      <c r="E23" s="13"/>
      <c r="F23" s="13"/>
    </row>
    <row r="24" spans="2:6" x14ac:dyDescent="0.35">
      <c r="B24" s="18" t="s">
        <v>1233</v>
      </c>
      <c r="C24" s="57"/>
      <c r="D24" s="19"/>
      <c r="E24" s="13"/>
      <c r="F24" s="13"/>
    </row>
    <row r="25" spans="2:6" x14ac:dyDescent="0.35">
      <c r="B25" s="20" t="s">
        <v>1234</v>
      </c>
      <c r="C25" s="58" t="s">
        <v>776</v>
      </c>
      <c r="D25" s="220" t="s">
        <v>1242</v>
      </c>
      <c r="E25" s="13"/>
      <c r="F25" s="13"/>
    </row>
    <row r="26" spans="2:6" x14ac:dyDescent="0.35">
      <c r="B26" s="20" t="s">
        <v>1236</v>
      </c>
      <c r="C26" s="58" t="s">
        <v>777</v>
      </c>
      <c r="D26" s="220" t="s">
        <v>1242</v>
      </c>
      <c r="E26" s="13"/>
      <c r="F26" s="13"/>
    </row>
    <row r="27" spans="2:6" x14ac:dyDescent="0.35">
      <c r="B27" s="18" t="s">
        <v>1237</v>
      </c>
      <c r="C27" s="57" t="s">
        <v>778</v>
      </c>
      <c r="D27" s="221" t="s">
        <v>1242</v>
      </c>
      <c r="E27" s="13"/>
      <c r="F27" s="13"/>
    </row>
    <row r="28" spans="2:6" x14ac:dyDescent="0.35">
      <c r="B28" s="13" t="s">
        <v>1243</v>
      </c>
      <c r="C28" s="58" t="s">
        <v>779</v>
      </c>
      <c r="D28" s="222" t="s">
        <v>1242</v>
      </c>
      <c r="E28" s="13"/>
      <c r="F28" s="13"/>
    </row>
    <row r="29" spans="2:6" x14ac:dyDescent="0.35">
      <c r="B29" s="13"/>
      <c r="C29" s="55"/>
      <c r="D29" s="13"/>
      <c r="E29" s="13"/>
      <c r="F29" s="13"/>
    </row>
    <row r="30" spans="2:6" ht="15.5" x14ac:dyDescent="0.45">
      <c r="B30" s="24" t="s">
        <v>1244</v>
      </c>
      <c r="C30" s="56"/>
      <c r="D30" s="13"/>
      <c r="E30" s="13"/>
      <c r="F30" s="13"/>
    </row>
    <row r="31" spans="2:6" ht="5.15" customHeight="1" x14ac:dyDescent="0.35">
      <c r="B31" s="13"/>
      <c r="C31" s="55"/>
      <c r="D31" s="13"/>
      <c r="E31" s="13"/>
      <c r="F31" s="13"/>
    </row>
    <row r="32" spans="2:6" x14ac:dyDescent="0.35">
      <c r="B32" s="18" t="s">
        <v>955</v>
      </c>
      <c r="C32" s="57"/>
      <c r="D32" s="19"/>
      <c r="E32" s="13"/>
      <c r="F32" s="13"/>
    </row>
    <row r="33" spans="2:6" x14ac:dyDescent="0.35">
      <c r="B33" s="13" t="s">
        <v>554</v>
      </c>
      <c r="C33" s="55" t="s">
        <v>783</v>
      </c>
      <c r="D33" s="223" t="s">
        <v>1245</v>
      </c>
      <c r="E33" s="13"/>
      <c r="F33" s="13"/>
    </row>
    <row r="34" spans="2:6" x14ac:dyDescent="0.35">
      <c r="B34" s="13" t="s">
        <v>555</v>
      </c>
      <c r="C34" s="55" t="s">
        <v>785</v>
      </c>
      <c r="D34" s="223" t="s">
        <v>1245</v>
      </c>
      <c r="E34" s="13"/>
      <c r="F34" s="13"/>
    </row>
    <row r="35" spans="2:6" x14ac:dyDescent="0.35">
      <c r="B35" s="13" t="s">
        <v>556</v>
      </c>
      <c r="C35" s="55" t="s">
        <v>787</v>
      </c>
      <c r="D35" s="224" t="s">
        <v>1246</v>
      </c>
      <c r="E35" s="13"/>
      <c r="F35" s="13"/>
    </row>
    <row r="36" spans="2:6" x14ac:dyDescent="0.35">
      <c r="B36" s="13"/>
      <c r="C36" s="55"/>
      <c r="D36" s="13"/>
      <c r="E36" s="13"/>
      <c r="F36" s="13"/>
    </row>
    <row r="37" spans="2:6" ht="15.5" x14ac:dyDescent="0.45">
      <c r="B37" s="24" t="s">
        <v>958</v>
      </c>
      <c r="C37" s="56"/>
      <c r="D37" s="13"/>
      <c r="E37" s="13"/>
      <c r="F37" s="13"/>
    </row>
    <row r="38" spans="2:6" ht="5.15" customHeight="1" x14ac:dyDescent="0.35">
      <c r="B38" s="13"/>
      <c r="C38" s="55"/>
      <c r="D38" s="13"/>
      <c r="E38" s="13"/>
      <c r="F38" s="13"/>
    </row>
    <row r="39" spans="2:6" x14ac:dyDescent="0.35">
      <c r="B39" s="18" t="s">
        <v>959</v>
      </c>
      <c r="C39" s="57"/>
      <c r="D39" s="19"/>
      <c r="E39" s="13"/>
      <c r="F39" s="13"/>
    </row>
    <row r="40" spans="2:6" x14ac:dyDescent="0.35">
      <c r="B40" s="13" t="s">
        <v>557</v>
      </c>
      <c r="C40" s="55" t="s">
        <v>791</v>
      </c>
      <c r="D40" s="89" t="s">
        <v>800</v>
      </c>
      <c r="E40" s="13"/>
      <c r="F40" s="13"/>
    </row>
    <row r="41" spans="2:6" x14ac:dyDescent="0.35">
      <c r="B41" s="13"/>
      <c r="C41" s="55"/>
      <c r="D41" s="20"/>
      <c r="E41" s="20"/>
      <c r="F41" s="13"/>
    </row>
    <row r="42" spans="2:6" s="8" customFormat="1" ht="15.5" x14ac:dyDescent="0.45">
      <c r="B42" s="372" t="s">
        <v>1247</v>
      </c>
      <c r="C42" s="372"/>
      <c r="D42" s="372"/>
      <c r="E42" s="372"/>
      <c r="F42" s="372"/>
    </row>
    <row r="43" spans="2:6" ht="13.4" customHeight="1" x14ac:dyDescent="0.35">
      <c r="B43" s="26" t="s">
        <v>1248</v>
      </c>
      <c r="C43" s="59"/>
      <c r="D43" s="13"/>
      <c r="E43" s="13"/>
      <c r="F43" s="13"/>
    </row>
    <row r="44" spans="2:6" ht="5.15" customHeight="1" x14ac:dyDescent="0.35">
      <c r="B44" s="13"/>
      <c r="C44" s="55"/>
      <c r="D44" s="13"/>
      <c r="E44" s="13"/>
      <c r="F44" s="13"/>
    </row>
    <row r="45" spans="2:6" x14ac:dyDescent="0.35">
      <c r="B45" s="18" t="s">
        <v>971</v>
      </c>
      <c r="C45" s="57"/>
      <c r="D45" s="19"/>
      <c r="E45" s="13"/>
      <c r="F45" s="13"/>
    </row>
    <row r="46" spans="2:6" x14ac:dyDescent="0.35">
      <c r="B46" s="13" t="s">
        <v>1249</v>
      </c>
      <c r="C46" s="55" t="s">
        <v>963</v>
      </c>
      <c r="D46" s="223" t="s">
        <v>1245</v>
      </c>
      <c r="E46" s="13"/>
      <c r="F46" s="13"/>
    </row>
    <row r="47" spans="2:6" x14ac:dyDescent="0.35">
      <c r="B47" s="13" t="s">
        <v>1250</v>
      </c>
      <c r="C47" s="55" t="s">
        <v>967</v>
      </c>
      <c r="D47" s="223" t="s">
        <v>1245</v>
      </c>
      <c r="E47" s="13"/>
      <c r="F47" s="13"/>
    </row>
    <row r="48" spans="2:6" x14ac:dyDescent="0.35">
      <c r="B48" s="18" t="s">
        <v>1251</v>
      </c>
      <c r="C48" s="57" t="s">
        <v>965</v>
      </c>
      <c r="D48" s="225" t="s">
        <v>1245</v>
      </c>
      <c r="E48" s="13"/>
      <c r="F48" s="13"/>
    </row>
    <row r="49" spans="2:6" x14ac:dyDescent="0.35">
      <c r="B49" s="13" t="s">
        <v>562</v>
      </c>
      <c r="C49" s="55" t="s">
        <v>968</v>
      </c>
      <c r="D49" s="223" t="s">
        <v>1245</v>
      </c>
      <c r="E49" s="13"/>
      <c r="F49" s="13"/>
    </row>
    <row r="50" spans="2:6" ht="5.15" customHeight="1" x14ac:dyDescent="0.35">
      <c r="B50" s="13"/>
      <c r="C50" s="55"/>
      <c r="D50" s="13"/>
      <c r="E50" s="13"/>
      <c r="F50" s="13"/>
    </row>
    <row r="51" spans="2:6" x14ac:dyDescent="0.35">
      <c r="B51" s="18" t="s">
        <v>1000</v>
      </c>
      <c r="C51" s="57"/>
      <c r="D51" s="19"/>
      <c r="E51" s="13"/>
      <c r="F51" s="13"/>
    </row>
    <row r="52" spans="2:6" x14ac:dyDescent="0.35">
      <c r="B52" s="13" t="s">
        <v>563</v>
      </c>
      <c r="C52" s="55" t="s">
        <v>1069</v>
      </c>
      <c r="D52" s="212" t="s">
        <v>1002</v>
      </c>
      <c r="E52" s="13"/>
      <c r="F52" s="13"/>
    </row>
    <row r="53" spans="2:6" x14ac:dyDescent="0.35">
      <c r="B53" s="13"/>
      <c r="C53" s="55"/>
      <c r="D53" s="13"/>
      <c r="E53" s="13"/>
      <c r="F53" s="13"/>
    </row>
    <row r="54" spans="2:6" s="8" customFormat="1" ht="28" customHeight="1" x14ac:dyDescent="0.45">
      <c r="B54" s="372" t="s">
        <v>1252</v>
      </c>
      <c r="C54" s="372"/>
      <c r="D54" s="372"/>
      <c r="E54" s="372"/>
      <c r="F54" s="372"/>
    </row>
    <row r="55" spans="2:6" ht="15.65" customHeight="1" x14ac:dyDescent="0.35">
      <c r="B55" s="26" t="s">
        <v>1253</v>
      </c>
      <c r="C55" s="59"/>
      <c r="D55" s="13"/>
      <c r="E55" s="13"/>
      <c r="F55" s="13"/>
    </row>
    <row r="56" spans="2:6" ht="5.15" customHeight="1" x14ac:dyDescent="0.35">
      <c r="B56" s="13"/>
      <c r="C56" s="55"/>
      <c r="D56" s="13"/>
      <c r="E56" s="13"/>
      <c r="F56" s="13"/>
    </row>
    <row r="57" spans="2:6" x14ac:dyDescent="0.35">
      <c r="B57" s="18" t="s">
        <v>971</v>
      </c>
      <c r="C57" s="57"/>
      <c r="D57" s="19"/>
      <c r="E57" s="13"/>
      <c r="F57" s="13"/>
    </row>
    <row r="58" spans="2:6" x14ac:dyDescent="0.35">
      <c r="B58" s="13" t="s">
        <v>972</v>
      </c>
      <c r="C58" s="55" t="s">
        <v>973</v>
      </c>
      <c r="D58" s="224" t="s">
        <v>1246</v>
      </c>
      <c r="E58" s="13"/>
      <c r="F58" s="13"/>
    </row>
    <row r="59" spans="2:6" x14ac:dyDescent="0.35">
      <c r="B59" s="20" t="s">
        <v>975</v>
      </c>
      <c r="C59" s="58" t="s">
        <v>976</v>
      </c>
      <c r="D59" s="224" t="s">
        <v>1246</v>
      </c>
      <c r="E59" s="13"/>
      <c r="F59" s="13"/>
    </row>
    <row r="60" spans="2:6" x14ac:dyDescent="0.35">
      <c r="B60" s="20" t="s">
        <v>1254</v>
      </c>
      <c r="C60" s="58" t="s">
        <v>979</v>
      </c>
      <c r="D60" s="224" t="s">
        <v>1246</v>
      </c>
      <c r="E60" s="13"/>
      <c r="F60" s="13"/>
    </row>
    <row r="61" spans="2:6" x14ac:dyDescent="0.35">
      <c r="B61" s="20" t="s">
        <v>1255</v>
      </c>
      <c r="C61" s="58" t="s">
        <v>982</v>
      </c>
      <c r="D61" s="224" t="s">
        <v>1246</v>
      </c>
      <c r="E61" s="13"/>
      <c r="F61" s="13"/>
    </row>
    <row r="62" spans="2:6" x14ac:dyDescent="0.35">
      <c r="B62" s="20" t="s">
        <v>981</v>
      </c>
      <c r="C62" s="58" t="s">
        <v>985</v>
      </c>
      <c r="D62" s="224" t="s">
        <v>1246</v>
      </c>
      <c r="E62" s="13"/>
      <c r="F62" s="13"/>
    </row>
    <row r="63" spans="2:6" x14ac:dyDescent="0.35">
      <c r="B63" s="13" t="s">
        <v>984</v>
      </c>
      <c r="C63" s="58" t="s">
        <v>988</v>
      </c>
      <c r="D63" s="224" t="s">
        <v>1246</v>
      </c>
      <c r="E63" s="13"/>
      <c r="F63" s="13"/>
    </row>
    <row r="64" spans="2:6" x14ac:dyDescent="0.35">
      <c r="B64" s="18" t="s">
        <v>1256</v>
      </c>
      <c r="C64" s="57" t="s">
        <v>991</v>
      </c>
      <c r="D64" s="226" t="s">
        <v>1246</v>
      </c>
      <c r="E64" s="13"/>
      <c r="F64" s="13"/>
    </row>
    <row r="65" spans="2:6" x14ac:dyDescent="0.35">
      <c r="B65" s="20" t="s">
        <v>571</v>
      </c>
      <c r="C65" s="58" t="s">
        <v>994</v>
      </c>
      <c r="D65" s="224" t="s">
        <v>1246</v>
      </c>
      <c r="E65" s="13"/>
      <c r="F65" s="13"/>
    </row>
    <row r="66" spans="2:6" ht="5.15" customHeight="1" x14ac:dyDescent="0.35">
      <c r="B66" s="20"/>
      <c r="C66" s="58"/>
      <c r="D66" s="20"/>
      <c r="E66" s="13"/>
      <c r="F66" s="13"/>
    </row>
    <row r="67" spans="2:6" x14ac:dyDescent="0.35">
      <c r="B67" s="18" t="s">
        <v>1000</v>
      </c>
      <c r="C67" s="57"/>
      <c r="D67" s="19"/>
      <c r="E67" s="13"/>
      <c r="F67" s="13"/>
    </row>
    <row r="68" spans="2:6" x14ac:dyDescent="0.35">
      <c r="B68" s="11" t="s">
        <v>572</v>
      </c>
      <c r="C68" s="60" t="s">
        <v>997</v>
      </c>
      <c r="D68" s="212" t="s">
        <v>1002</v>
      </c>
      <c r="E68" s="13"/>
      <c r="F68" s="13"/>
    </row>
    <row r="69" spans="2:6" ht="14.5" customHeight="1" x14ac:dyDescent="0.35">
      <c r="B69" s="13"/>
      <c r="C69" s="55"/>
      <c r="D69" s="13"/>
      <c r="E69" s="13"/>
      <c r="F69" s="13"/>
    </row>
    <row r="70" spans="2:6" s="8" customFormat="1" ht="14.5" customHeight="1" x14ac:dyDescent="0.45">
      <c r="B70" s="372" t="s">
        <v>1257</v>
      </c>
      <c r="C70" s="372"/>
      <c r="D70" s="372"/>
      <c r="E70" s="372"/>
      <c r="F70" s="372"/>
    </row>
    <row r="71" spans="2:6" ht="13.75" customHeight="1" x14ac:dyDescent="0.35">
      <c r="B71" s="26" t="s">
        <v>1258</v>
      </c>
      <c r="C71" s="59"/>
      <c r="D71" s="13"/>
      <c r="E71" s="13"/>
      <c r="F71" s="13"/>
    </row>
    <row r="72" spans="2:6" ht="5.15" customHeight="1" x14ac:dyDescent="0.35">
      <c r="B72" s="13"/>
      <c r="C72" s="55"/>
      <c r="D72" s="13"/>
      <c r="E72" s="13"/>
      <c r="F72" s="13"/>
    </row>
    <row r="73" spans="2:6" x14ac:dyDescent="0.35">
      <c r="B73" s="18" t="s">
        <v>971</v>
      </c>
      <c r="C73" s="57"/>
      <c r="D73" s="19"/>
      <c r="E73" s="13"/>
      <c r="F73" s="13"/>
    </row>
    <row r="74" spans="2:6" x14ac:dyDescent="0.35">
      <c r="B74" s="27" t="s">
        <v>990</v>
      </c>
      <c r="C74" s="61" t="s">
        <v>1006</v>
      </c>
      <c r="D74" s="224" t="s">
        <v>1246</v>
      </c>
      <c r="E74" s="13"/>
      <c r="F74" s="13"/>
    </row>
    <row r="75" spans="2:6" x14ac:dyDescent="0.35">
      <c r="B75" s="28" t="s">
        <v>1259</v>
      </c>
      <c r="C75" s="62" t="s">
        <v>1008</v>
      </c>
      <c r="D75" s="226" t="s">
        <v>1246</v>
      </c>
      <c r="E75" s="13"/>
      <c r="F75" s="13"/>
    </row>
    <row r="76" spans="2:6" x14ac:dyDescent="0.35">
      <c r="B76" s="27" t="s">
        <v>575</v>
      </c>
      <c r="C76" s="61" t="s">
        <v>1007</v>
      </c>
      <c r="D76" s="224" t="s">
        <v>1246</v>
      </c>
      <c r="E76" s="13"/>
      <c r="F76" s="13"/>
    </row>
    <row r="77" spans="2:6" ht="5.15" customHeight="1" x14ac:dyDescent="0.35">
      <c r="B77" s="13"/>
      <c r="C77" s="55"/>
      <c r="D77" s="13"/>
      <c r="E77" s="13"/>
      <c r="F77" s="13"/>
    </row>
    <row r="78" spans="2:6" s="5" customFormat="1" x14ac:dyDescent="0.35">
      <c r="B78" s="18" t="s">
        <v>1000</v>
      </c>
      <c r="C78" s="57"/>
      <c r="D78" s="19"/>
      <c r="E78" s="13"/>
      <c r="F78" s="13"/>
    </row>
    <row r="79" spans="2:6" s="5" customFormat="1" x14ac:dyDescent="0.35">
      <c r="B79" s="13" t="s">
        <v>576</v>
      </c>
      <c r="C79" s="55" t="s">
        <v>1009</v>
      </c>
      <c r="D79" s="212" t="s">
        <v>1002</v>
      </c>
      <c r="E79" s="13"/>
      <c r="F79" s="13"/>
    </row>
    <row r="80" spans="2:6" x14ac:dyDescent="0.35">
      <c r="B80" s="13"/>
      <c r="C80" s="55"/>
      <c r="D80" s="13"/>
      <c r="E80" s="13"/>
      <c r="F80" s="13"/>
    </row>
    <row r="81" spans="2:6" ht="14.5" customHeight="1" x14ac:dyDescent="0.45">
      <c r="B81" s="29" t="s">
        <v>1260</v>
      </c>
      <c r="C81" s="56"/>
      <c r="D81" s="21"/>
      <c r="E81" s="21"/>
      <c r="F81" s="21"/>
    </row>
    <row r="82" spans="2:6" ht="5.15" customHeight="1" x14ac:dyDescent="0.35">
      <c r="B82" s="13"/>
      <c r="C82" s="55"/>
      <c r="D82" s="13"/>
      <c r="E82" s="13"/>
      <c r="F82" s="13"/>
    </row>
    <row r="83" spans="2:6" x14ac:dyDescent="0.35">
      <c r="B83" s="18" t="s">
        <v>1005</v>
      </c>
      <c r="C83" s="57"/>
      <c r="D83" s="19"/>
      <c r="E83" s="13"/>
      <c r="F83" s="13"/>
    </row>
    <row r="84" spans="2:6" x14ac:dyDescent="0.35">
      <c r="B84" s="22" t="s">
        <v>418</v>
      </c>
      <c r="C84" s="63" t="s">
        <v>1261</v>
      </c>
      <c r="D84" s="212" t="s">
        <v>1002</v>
      </c>
      <c r="E84" s="13"/>
      <c r="F84" s="13"/>
    </row>
    <row r="85" spans="2:6" x14ac:dyDescent="0.35">
      <c r="B85" s="22" t="s">
        <v>419</v>
      </c>
      <c r="C85" s="63" t="s">
        <v>1262</v>
      </c>
      <c r="D85" s="212" t="s">
        <v>1002</v>
      </c>
      <c r="E85" s="13"/>
      <c r="F85" s="13"/>
    </row>
    <row r="86" spans="2:6" x14ac:dyDescent="0.35">
      <c r="B86" s="13"/>
      <c r="C86" s="55"/>
      <c r="D86" s="13"/>
      <c r="E86" s="13"/>
      <c r="F86" s="13"/>
    </row>
    <row r="87" spans="2:6" ht="15.5" x14ac:dyDescent="0.45">
      <c r="B87" s="29" t="s">
        <v>1263</v>
      </c>
      <c r="C87" s="56"/>
      <c r="D87" s="13"/>
      <c r="E87" s="13"/>
      <c r="F87" s="13"/>
    </row>
    <row r="88" spans="2:6" ht="5.15" customHeight="1" x14ac:dyDescent="0.35">
      <c r="B88" s="13"/>
      <c r="C88" s="55"/>
      <c r="D88" s="13"/>
      <c r="E88" s="13"/>
      <c r="F88" s="13"/>
    </row>
    <row r="89" spans="2:6" x14ac:dyDescent="0.35">
      <c r="B89" s="18" t="s">
        <v>886</v>
      </c>
      <c r="C89" s="57"/>
      <c r="D89" s="19"/>
      <c r="E89" s="13"/>
      <c r="F89" s="13"/>
    </row>
    <row r="90" spans="2:6" x14ac:dyDescent="0.35">
      <c r="B90" s="13" t="s">
        <v>420</v>
      </c>
      <c r="C90" s="55" t="s">
        <v>1086</v>
      </c>
      <c r="D90" s="89" t="s">
        <v>800</v>
      </c>
      <c r="E90" s="13"/>
      <c r="F90" s="13"/>
    </row>
    <row r="91" spans="2:6" x14ac:dyDescent="0.35">
      <c r="B91" s="13"/>
      <c r="C91" s="55"/>
      <c r="D91" s="13"/>
      <c r="E91" s="13"/>
      <c r="F91" s="13"/>
    </row>
    <row r="92" spans="2:6" ht="15.5" x14ac:dyDescent="0.45">
      <c r="B92" s="29" t="s">
        <v>1264</v>
      </c>
      <c r="C92" s="56"/>
      <c r="D92" s="13"/>
      <c r="E92" s="13"/>
      <c r="F92" s="13"/>
    </row>
    <row r="93" spans="2:6" ht="4.5" customHeight="1" x14ac:dyDescent="0.35">
      <c r="B93" s="13"/>
      <c r="C93" s="55"/>
      <c r="D93" s="13"/>
      <c r="E93" s="13"/>
      <c r="F93" s="13"/>
    </row>
    <row r="94" spans="2:6" x14ac:dyDescent="0.35">
      <c r="B94" s="18" t="s">
        <v>1265</v>
      </c>
      <c r="C94" s="57"/>
      <c r="D94" s="19"/>
      <c r="E94" s="13"/>
      <c r="F94" s="13"/>
    </row>
    <row r="95" spans="2:6" x14ac:dyDescent="0.35">
      <c r="B95" s="13" t="s">
        <v>577</v>
      </c>
      <c r="C95" s="55" t="s">
        <v>1088</v>
      </c>
      <c r="D95" s="227" t="s">
        <v>1266</v>
      </c>
      <c r="E95" s="13"/>
      <c r="F95" s="13"/>
    </row>
    <row r="96" spans="2:6" x14ac:dyDescent="0.35">
      <c r="B96" s="13" t="s">
        <v>578</v>
      </c>
      <c r="C96" s="55" t="s">
        <v>1090</v>
      </c>
      <c r="D96" s="227" t="s">
        <v>1266</v>
      </c>
      <c r="E96" s="13"/>
      <c r="F96" s="13"/>
    </row>
    <row r="97" spans="2:6" s="5" customFormat="1" x14ac:dyDescent="0.35">
      <c r="B97" s="13" t="s">
        <v>579</v>
      </c>
      <c r="C97" s="55" t="s">
        <v>1093</v>
      </c>
      <c r="D97" s="228" t="s">
        <v>832</v>
      </c>
      <c r="E97" s="13"/>
      <c r="F97" s="13"/>
    </row>
    <row r="98" spans="2:6" x14ac:dyDescent="0.35">
      <c r="B98" s="13"/>
      <c r="C98" s="55"/>
      <c r="D98" s="13"/>
      <c r="E98" s="13"/>
      <c r="F98" s="13"/>
    </row>
    <row r="99" spans="2:6" ht="15.5" x14ac:dyDescent="0.45">
      <c r="B99" s="29" t="s">
        <v>1267</v>
      </c>
      <c r="C99" s="56"/>
      <c r="D99" s="13"/>
      <c r="E99" s="13"/>
      <c r="F99" s="13"/>
    </row>
    <row r="100" spans="2:6" ht="5.15" customHeight="1" x14ac:dyDescent="0.35">
      <c r="B100" s="13"/>
      <c r="C100" s="55"/>
      <c r="D100" s="13"/>
      <c r="E100" s="13"/>
      <c r="F100" s="13"/>
    </row>
    <row r="101" spans="2:6" x14ac:dyDescent="0.35">
      <c r="B101" s="18" t="s">
        <v>1023</v>
      </c>
      <c r="C101" s="57"/>
      <c r="D101" s="19"/>
      <c r="E101" s="13"/>
      <c r="F101" s="13"/>
    </row>
    <row r="102" spans="2:6" x14ac:dyDescent="0.35">
      <c r="B102" s="13" t="s">
        <v>421</v>
      </c>
      <c r="C102" s="55" t="s">
        <v>1125</v>
      </c>
      <c r="D102" s="174" t="s">
        <v>900</v>
      </c>
      <c r="E102" s="13"/>
      <c r="F102" s="13"/>
    </row>
    <row r="103" spans="2:6" x14ac:dyDescent="0.35">
      <c r="B103" s="13"/>
      <c r="C103" s="55"/>
      <c r="D103" s="13"/>
      <c r="E103" s="13"/>
      <c r="F103" s="13"/>
    </row>
    <row r="104" spans="2:6" ht="15.5" x14ac:dyDescent="0.45">
      <c r="B104" s="29" t="s">
        <v>1268</v>
      </c>
      <c r="C104" s="56"/>
      <c r="D104" s="13"/>
      <c r="E104" s="13"/>
      <c r="F104" s="13"/>
    </row>
    <row r="105" spans="2:6" ht="5.15" customHeight="1" x14ac:dyDescent="0.35">
      <c r="B105" s="13"/>
      <c r="C105" s="55"/>
      <c r="D105" s="13"/>
      <c r="E105" s="13"/>
      <c r="F105" s="13"/>
    </row>
    <row r="106" spans="2:6" x14ac:dyDescent="0.35">
      <c r="B106" s="18" t="s">
        <v>931</v>
      </c>
      <c r="C106" s="57"/>
      <c r="D106" s="19"/>
      <c r="E106" s="13"/>
      <c r="F106" s="13"/>
    </row>
    <row r="107" spans="2:6" x14ac:dyDescent="0.35">
      <c r="B107" s="13" t="s">
        <v>580</v>
      </c>
      <c r="C107" s="55" t="s">
        <v>1127</v>
      </c>
      <c r="D107" s="161" t="s">
        <v>1029</v>
      </c>
      <c r="E107" s="13"/>
      <c r="F107" s="13"/>
    </row>
    <row r="108" spans="2:6" x14ac:dyDescent="0.35">
      <c r="B108" s="13" t="s">
        <v>581</v>
      </c>
      <c r="C108" s="55" t="s">
        <v>1132</v>
      </c>
      <c r="D108" s="175" t="s">
        <v>1032</v>
      </c>
      <c r="E108" s="13"/>
      <c r="F108" s="13"/>
    </row>
    <row r="109" spans="2:6" x14ac:dyDescent="0.35">
      <c r="B109" s="13" t="s">
        <v>582</v>
      </c>
      <c r="C109" s="55" t="s">
        <v>1136</v>
      </c>
      <c r="D109" s="175" t="s">
        <v>1032</v>
      </c>
      <c r="E109" s="13"/>
      <c r="F109" s="13"/>
    </row>
    <row r="110" spans="2:6" x14ac:dyDescent="0.35">
      <c r="B110" s="13" t="s">
        <v>583</v>
      </c>
      <c r="C110" s="55" t="s">
        <v>1140</v>
      </c>
      <c r="D110" s="175" t="s">
        <v>1032</v>
      </c>
      <c r="E110" s="13"/>
      <c r="F110" s="13"/>
    </row>
    <row r="111" spans="2:6" x14ac:dyDescent="0.35">
      <c r="B111" s="13"/>
      <c r="C111" s="55"/>
      <c r="D111" s="13"/>
      <c r="E111" s="13"/>
      <c r="F111" s="13"/>
    </row>
    <row r="112" spans="2:6" hidden="1" x14ac:dyDescent="0.35">
      <c r="B112" s="13"/>
      <c r="C112" s="55"/>
      <c r="D112" s="13"/>
      <c r="E112" s="13"/>
      <c r="F112" s="13"/>
    </row>
    <row r="113" spans="2:5" hidden="1" x14ac:dyDescent="0.35">
      <c r="B113" s="8"/>
      <c r="D113" s="8"/>
      <c r="E113" s="8"/>
    </row>
    <row r="114" spans="2:5" hidden="1" x14ac:dyDescent="0.35">
      <c r="B114" s="8"/>
      <c r="D114" s="8"/>
      <c r="E114" s="8"/>
    </row>
    <row r="115" spans="2:5" hidden="1" x14ac:dyDescent="0.35">
      <c r="B115" s="8" t="s">
        <v>19</v>
      </c>
      <c r="C115" s="46"/>
      <c r="D115" s="8">
        <f>IFERROR(D12*D20,0)</f>
        <v>0</v>
      </c>
      <c r="E115" s="46"/>
    </row>
    <row r="116" spans="2:5" hidden="1" x14ac:dyDescent="0.35">
      <c r="B116" s="8" t="s">
        <v>18</v>
      </c>
      <c r="C116" s="46"/>
      <c r="D116" s="8">
        <f>IFERROR(D115+D107,D115)/(1-SUM(D108:D110))</f>
        <v>0</v>
      </c>
      <c r="E116" s="46"/>
    </row>
    <row r="117" spans="2:5" hidden="1" x14ac:dyDescent="0.35">
      <c r="B117" s="8"/>
      <c r="D117" s="8"/>
      <c r="E117" s="8"/>
    </row>
  </sheetData>
  <sheetProtection sheet="1" objects="1" scenarios="1" selectLockedCells="1"/>
  <mergeCells count="3">
    <mergeCell ref="B42:F42"/>
    <mergeCell ref="B54:F54"/>
    <mergeCell ref="B70:F70"/>
  </mergeCells>
  <dataValidations count="4">
    <dataValidation type="decimal" operator="lessThanOrEqual" allowBlank="1" showInputMessage="1" showErrorMessage="1" sqref="D40 D52 D68 D79 D84:D85 D90 D108:D110 D95:D96" xr:uid="{2AA05FD9-A57E-4437-9306-0B165AD16962}">
      <formula1>1</formula1>
    </dataValidation>
    <dataValidation type="decimal" allowBlank="1" showInputMessage="1" showErrorMessage="1" sqref="D102" xr:uid="{5C1ADBC1-32E2-4246-A0C5-3EDE4B4F6F0C}">
      <formula1>0.0001</formula1>
      <formula2>1</formula2>
    </dataValidation>
    <dataValidation type="decimal" operator="greaterThanOrEqual" allowBlank="1" showInputMessage="1" showErrorMessage="1" sqref="D107 D17:D20 D25:D28 D33:D35 D46:D49 D58:D65 D74:D76" xr:uid="{F1E20A28-7845-4F70-81F9-F81E38664949}">
      <formula1>0</formula1>
    </dataValidation>
    <dataValidation type="whole" operator="greaterThanOrEqual" allowBlank="1" showInputMessage="1" showErrorMessage="1" sqref="D9:D12 D97" xr:uid="{86BBFD7C-24E9-4CE5-BD34-0ED2C8E346A2}">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F3BE0AABE1184CABE04E29E6920810" ma:contentTypeVersion="11" ma:contentTypeDescription="Create a new document." ma:contentTypeScope="" ma:versionID="123193d1c2df340a173fb7ace7efed46">
  <xsd:schema xmlns:xsd="http://www.w3.org/2001/XMLSchema" xmlns:xs="http://www.w3.org/2001/XMLSchema" xmlns:p="http://schemas.microsoft.com/office/2006/metadata/properties" xmlns:ns1="http://schemas.microsoft.com/sharepoint/v3" xmlns:ns2="54478a5c-5736-4882-9398-c230d830c537" xmlns:ns3="c5f69a42-fb10-4d24-a8d2-aa4ccad715ca" targetNamespace="http://schemas.microsoft.com/office/2006/metadata/properties" ma:root="true" ma:fieldsID="9f985162ade7a589112e5b96b0f3c996" ns1:_="" ns2:_="" ns3:_="">
    <xsd:import namespace="http://schemas.microsoft.com/sharepoint/v3"/>
    <xsd:import namespace="54478a5c-5736-4882-9398-c230d830c537"/>
    <xsd:import namespace="c5f69a42-fb10-4d24-a8d2-aa4ccad715c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478a5c-5736-4882-9398-c230d830c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f69a42-fb10-4d24-a8d2-aa4ccad715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DE83773-E4EF-464E-A994-8FE5535FE8FA}">
  <ds:schemaRefs>
    <ds:schemaRef ds:uri="http://schemas.microsoft.com/sharepoint/v3/contenttype/forms"/>
  </ds:schemaRefs>
</ds:datastoreItem>
</file>

<file path=customXml/itemProps2.xml><?xml version="1.0" encoding="utf-8"?>
<ds:datastoreItem xmlns:ds="http://schemas.openxmlformats.org/officeDocument/2006/customXml" ds:itemID="{56993365-FF22-49F9-B2C7-CEF55E04A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478a5c-5736-4882-9398-c230d830c537"/>
    <ds:schemaRef ds:uri="c5f69a42-fb10-4d24-a8d2-aa4ccad71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DCE0B9-6057-4CF3-A3CF-8B1B5892843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Development_Assumptions</vt:lpstr>
      <vt:lpstr>Development_Costs</vt:lpstr>
      <vt:lpstr>Capital Stack_Incentives</vt:lpstr>
      <vt:lpstr>Residential Assumptions</vt:lpstr>
      <vt:lpstr>Retail Assumptions</vt:lpstr>
      <vt:lpstr>Office Assumptions</vt:lpstr>
      <vt:lpstr>Hotel Assumptions</vt:lpstr>
      <vt:lpstr>Industrial Assumptions</vt:lpstr>
      <vt:lpstr>Parking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 Gabriel</dc:creator>
  <cp:keywords/>
  <dc:description/>
  <cp:lastModifiedBy>jhandler</cp:lastModifiedBy>
  <cp:revision/>
  <dcterms:created xsi:type="dcterms:W3CDTF">2020-10-27T20:56:26Z</dcterms:created>
  <dcterms:modified xsi:type="dcterms:W3CDTF">2022-03-10T14:59:36Z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0x01010077F3BE0AABE1184CABE04E29E6920810</vt:lpwstr>
  </property>
</Properties>
</file>